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Kuks_NI\Documents\ЕИАС шаблоны и запросы\РАСКРЫТИЕ ИНФО\СТРУКТУРА ЗАТРАТ - OPEN_INFO_BALANCE годовые\2023 год\"/>
    </mc:Choice>
  </mc:AlternateContent>
  <bookViews>
    <workbookView xWindow="0" yWindow="0" windowWidth="12660" windowHeight="10995" tabRatio="751" firstSheet="2" activeTab="39"/>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DATA_FORMS" sheetId="11" state="hidden" r:id="rId11"/>
    <sheet name="DATA_NPA" sheetId="12" state="hidden" r:id="rId12"/>
    <sheet name="TEHSHEET" sheetId="13" state="hidden" r:id="rId13"/>
    <sheet name="et_union_hor" sheetId="14" state="hidden" r:id="rId14"/>
    <sheet name="Договоры" sheetId="15" state="hidden" r:id="rId15"/>
    <sheet name="ТС. Т-ТЭ | &gt;=25МВт" sheetId="16" state="hidden" r:id="rId16"/>
    <sheet name="ТС. Т-ТЭ | ТСО" sheetId="17" state="hidden" r:id="rId17"/>
    <sheet name="ТС. Резерв мощности" sheetId="18" state="hidden" r:id="rId18"/>
    <sheet name="ТС. Т-ТН" sheetId="19" state="hidden" r:id="rId19"/>
    <sheet name="ТС. Т-передача ТЭ" sheetId="20" state="hidden" r:id="rId20"/>
    <sheet name="ТС. Т-передача ТН" sheetId="21" state="hidden" r:id="rId21"/>
    <sheet name="ТС. Т-гор.вода" sheetId="22" state="hidden" r:id="rId22"/>
    <sheet name="ТС. Т-подкл" sheetId="23" state="hidden" r:id="rId23"/>
    <sheet name="Т-ТЭ | потр" sheetId="24" state="hidden" r:id="rId24"/>
    <sheet name="Т-ТЭ | предел" sheetId="25" state="hidden" r:id="rId25"/>
    <sheet name="Т-ТЭ | индикат" sheetId="26" state="hidden" r:id="rId26"/>
    <sheet name="Т-подкл(инд)" sheetId="27" state="hidden" r:id="rId27"/>
    <sheet name="Порядок ТП" sheetId="28" state="hidden" r:id="rId28"/>
    <sheet name="Сведения о закупках" sheetId="29" state="hidden" r:id="rId29"/>
    <sheet name="modMainProcedures" sheetId="30" state="hidden" r:id="rId30"/>
    <sheet name="Потребительские характеристики" sheetId="31" state="hidden" r:id="rId31"/>
    <sheet name="ТП" sheetId="32" state="hidden" r:id="rId32"/>
    <sheet name="Ограничения" sheetId="33" state="hidden" r:id="rId33"/>
    <sheet name="Предложение" sheetId="34" state="hidden" r:id="rId34"/>
    <sheet name="ХВС. Т-пит" sheetId="35" state="hidden" r:id="rId35"/>
    <sheet name="ХВС. Т-тех" sheetId="36" state="hidden" r:id="rId36"/>
    <sheet name="ХВС. Т-транс" sheetId="37" state="hidden" r:id="rId37"/>
    <sheet name="ХВС. Т-подвоз" sheetId="38" state="hidden" r:id="rId38"/>
    <sheet name="ХВС. Т-подкл" sheetId="39" state="hidden" r:id="rId39"/>
    <sheet name="Показатели ФХД" sheetId="40" r:id="rId40"/>
    <sheet name="Показатели ФХД &gt;20%" sheetId="41" state="hidden" r:id="rId41"/>
    <sheet name="ТКО. Показатели ФХД" sheetId="42" state="hidden" r:id="rId42"/>
    <sheet name="ТКО. Транс. Показатели ФХД" sheetId="43" state="hidden" r:id="rId43"/>
    <sheet name="Показатели КНЭ" sheetId="44" r:id="rId44"/>
    <sheet name="ИП" sheetId="45" r:id="rId45"/>
    <sheet name="ИП. Детализация" sheetId="46" r:id="rId46"/>
    <sheet name="ИП. Финансовый план" sheetId="47" state="hidden" r:id="rId47"/>
    <sheet name="ИП. КНЭ" sheetId="48" r:id="rId48"/>
    <sheet name="ГВС. Т-гор.вода" sheetId="49" state="hidden" r:id="rId49"/>
    <sheet name="ГВС. Т-транс" sheetId="50" state="hidden" r:id="rId50"/>
    <sheet name="ГВС. Т-подкл" sheetId="51" state="hidden" r:id="rId51"/>
    <sheet name="ВО. Т-во" sheetId="52" state="hidden" r:id="rId52"/>
    <sheet name="ВО. Т-транс" sheetId="53" state="hidden" r:id="rId53"/>
    <sheet name="ВО. Т-подкл" sheetId="54" state="hidden" r:id="rId54"/>
    <sheet name="modB_FHD" sheetId="55" state="hidden" r:id="rId55"/>
    <sheet name="modB_FHD20" sheetId="56" state="hidden" r:id="rId56"/>
    <sheet name="modB_KNE" sheetId="57" state="hidden" r:id="rId57"/>
    <sheet name="modIP_MAIN" sheetId="58" state="hidden" r:id="rId58"/>
    <sheet name="modIP_QRE" sheetId="59" state="hidden" r:id="rId59"/>
    <sheet name="modIP_DETAILED" sheetId="60" state="hidden" r:id="rId60"/>
    <sheet name="ЭД" sheetId="61" state="hidden" r:id="rId61"/>
    <sheet name="Сведения об изменении" sheetId="62" state="hidden" r:id="rId62"/>
    <sheet name="Орган регулирования" sheetId="63" state="hidden" r:id="rId63"/>
    <sheet name="Перечень организаций" sheetId="64" state="hidden" r:id="rId64"/>
    <sheet name="Дела об установлении тарифов" sheetId="65" state="hidden" r:id="rId65"/>
    <sheet name="Привлечение к ответственности" sheetId="66" state="hidden" r:id="rId66"/>
    <sheet name="Комментарии" sheetId="67" r:id="rId67"/>
    <sheet name="Проверка" sheetId="68" state="hidden" r:id="rId68"/>
    <sheet name="et_union_vert" sheetId="69" state="hidden" r:id="rId69"/>
    <sheet name="Легенда" sheetId="70" state="hidden" r:id="rId70"/>
    <sheet name="modfrmListIP" sheetId="71" state="hidden" r:id="rId71"/>
    <sheet name="modfrmActivity" sheetId="72" state="hidden" r:id="rId72"/>
    <sheet name="REESTR_ORG" sheetId="73" state="hidden" r:id="rId73"/>
    <sheet name="REESTR_MO" sheetId="74" state="hidden" r:id="rId74"/>
    <sheet name="REESTR_IP" sheetId="75" state="hidden" r:id="rId75"/>
    <sheet name="REESTR_OBJ_INFR" sheetId="76" state="hidden" r:id="rId76"/>
    <sheet name="REESTR_DS" sheetId="77" state="hidden" r:id="rId77"/>
    <sheet name="REESTR_VT" sheetId="78" state="hidden" r:id="rId78"/>
    <sheet name="REESTR_VED" sheetId="79" state="hidden" r:id="rId79"/>
    <sheet name="REESTR_MO_FILTER" sheetId="80" state="hidden" r:id="rId80"/>
    <sheet name="REESTR_LINK" sheetId="81" state="hidden" r:id="rId81"/>
    <sheet name="modSheetMain" sheetId="82" state="hidden" r:id="rId82"/>
    <sheet name="modfrmReportMode" sheetId="83" state="hidden" r:id="rId83"/>
    <sheet name="modfrmReestrObj" sheetId="84" state="hidden" r:id="rId84"/>
    <sheet name="AllSheetsInThisWorkbook" sheetId="85" state="hidden" r:id="rId85"/>
    <sheet name="modInfo" sheetId="86" state="hidden" r:id="rId86"/>
    <sheet name="Черновик 1" sheetId="87" state="hidden" r:id="rId87"/>
  </sheets>
  <definedNames>
    <definedName name="_xlnm._FilterDatabase" localSheetId="67">Проверка!$B$4:$E$5</definedName>
    <definedName name="anscount">1</definedName>
    <definedName name="B_FHD_CHECK_INDEX_1">'Показатели ФХД'!$L$78</definedName>
    <definedName name="B_FHD_CHECK_INDEX_2">'Показатели ФХД'!$L$80</definedName>
    <definedName name="B_FHD_COSTS_INDEX_1">'Показатели ФХД'!$H$77:$J$77</definedName>
    <definedName name="B_FHD_COSTS_INDEX_2">'Показатели ФХД'!$H$79:$J$79</definedName>
    <definedName name="B_FHD_DATA_TOP80_ACTIVITY">'Показатели ФХД'!$H$95:$J$95</definedName>
    <definedName name="B_FHD_diff_1">'Показатели ФХД'!$I$25:$I$27</definedName>
    <definedName name="B_FHD_FLAG_DIFFERENTIATION">'Показатели ФХД'!$H$24:$J$24</definedName>
    <definedName name="B_FHD_FLAG_INDEX_1">'Показатели ФХД'!$H$78:$J$78</definedName>
    <definedName name="B_FHD_FLAG_INDEX_2">'Показатели ФХД'!$H$80:$J$80</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Титульный!$48:$58</definedName>
    <definedName name="BLOCK_BALANCE_TKO_FLAG_TRANS">Титульный!$59:$60</definedName>
    <definedName name="BLOCK_CONNECTION_STATE">Титульный!$46:$47</definedName>
    <definedName name="BLOCK_DIFF_CS">Титульный!$38:$39</definedName>
    <definedName name="BLOCK_DIFFERENTIATION_NOT_TKO">Дифференциация!$J:$M</definedName>
    <definedName name="BLOCK_FIRST_TARIFF">Титульный!$18:$22</definedName>
    <definedName name="BLOCK_FIRST_TARIFF_OREG_PUBL">Титульный!$21:$22</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Т-пит'!$54:$55</definedName>
    <definedName name="BLOCK_NOTE_P_TARIFF_A_HOTVSNA">'ГВС. Т-гор.вода'!$54:$55</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Т-пит'!$56:$57</definedName>
    <definedName name="BLOCK_NOTE_R_TARIFF_A_HOTVSNA">'ГВС. Т-гор.вода'!$56:$57</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Титульный!$11:$11</definedName>
    <definedName name="BLOCK_PERIOD_QUARTER">Титульный!$13:$13</definedName>
    <definedName name="BLOCK_PERIOD_TWO_DATA">Титульный!$9:$10</definedName>
    <definedName name="BLOCK_PERIOD_YEAR">Титульный!$12:$12</definedName>
    <definedName name="BLOCK_POK_FHD_COLDVSNA_P1">'Показатели ФХД'!$96:$104</definedName>
    <definedName name="BLOCK_POK_FHD_COLDVSNA_P2">'Показатели ФХД'!$131:$135</definedName>
    <definedName name="BLOCK_POK_FHD_HEAT_P1">'Показатели ФХД'!$33:$52</definedName>
    <definedName name="BLOCK_POK_FHD_HEAT_P2">'Показатели ФХД'!$86:$86</definedName>
    <definedName name="BLOCK_POK_FHD_HEAT_P3">'Показатели ФХД'!$113:$127</definedName>
    <definedName name="BLOCK_POK_FHD_HEAT_P4">'Показатели ФХД'!$129:$129</definedName>
    <definedName name="BLOCK_POK_FHD_HEAT_P5">'Показатели ФХД'!$136:$150</definedName>
    <definedName name="BLOCK_POK_FHD_HEAT_P6">'Показатели ФХД'!$59:$59</definedName>
    <definedName name="BLOCK_POK_FHD_HOTVSNA_P1">'Показатели ФХД'!$53:$55</definedName>
    <definedName name="BLOCK_POK_FHD_HOTVSNA_P2">'Показатели ФХД'!$105:$109</definedName>
    <definedName name="BLOCK_POK_FHD_NOT_HEAT_P1">'Показатели ФХД'!$79:$80</definedName>
    <definedName name="BLOCK_POK_FHD_NOT_HEAT_P2">'Показатели ФХД'!$94:$94</definedName>
    <definedName name="BLOCK_POK_FHD_NOT_HOTVSNA">'Показатели ФХД'!$60:$60</definedName>
    <definedName name="BLOCK_POK_FHD_VOTV_P1">'Показатели ФХД'!$110:$112</definedName>
    <definedName name="BLOCK_POK_FHD_VSNA">'Показатели ФХД'!$130:$130</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Титульный!$40:$45</definedName>
    <definedName name="BLOCK_PRICE_IST_TE">'Перечень тарифов'!$S:$V</definedName>
    <definedName name="BLOCK_PRICE_REQUEST">Титульный!$18:$22</definedName>
    <definedName name="BLOCK_PT_COLDVSNA">'Перечень тарифов'!$64:$88</definedName>
    <definedName name="BLOCK_PT_HEAT">'Перечень тарифов'!$13:$62</definedName>
    <definedName name="BLOCK_PT_HOTVSNA">'Перечень тарифов'!$90:$104</definedName>
    <definedName name="BLOCK_PT_VOTV">'Перечень тарифов'!$106:$120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Титульный!$57:$58</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WARM_ORG_TYPE">Титульный!$34:$34</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TEHSHEET!$BT$19:$BT$21</definedName>
    <definedName name="COLDVSNA_PT_VED_NAME">TEHSHEET!$BU$19:$BU$21</definedName>
    <definedName name="COLDVSNA_PT_VED_NAME_LIST">TEHSHEET!$BT$19:$BU$21</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тарифов'!$Z$12:$Z$122</definedName>
    <definedName name="DIFFERENTIATION_TARIFF_VD_ID">'Перечень тарифов'!$AB$12:$AB$122</definedName>
    <definedName name="DIFFERENTIATION_TARIFF_VTAR_ID">'Перечень тарифов'!$AA$12:$AA$122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et_union_hor!$115:$123</definedName>
    <definedName name="et_B_FHD20_1_NOT_HEAT">et_union_hor!$103:$111</definedName>
    <definedName name="et_B_FHD20_2">et_union_hor!$127:$130</definedName>
    <definedName name="et_B_FHD20_3">et_union_hor!$135:$136</definedName>
    <definedName name="et_B_FHD20_4">et_union_hor!$138:$138</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et_union_hor!$25:$26</definedName>
    <definedName name="et_DIFFERENTIATION_SYSTEM">et_union_hor!$30:$30</definedName>
    <definedName name="et_DIFFERENTIATION_TARIFF_COLOR">et_union_hor!$H$142:$W$146</definedName>
    <definedName name="et_DIFFERENTIATION_TARIFF_CS">et_union_hor!$157:$158</definedName>
    <definedName name="et_DIFFERENTIATION_TARIFF_IST_TE">et_union_hor!$160:$160</definedName>
    <definedName name="et_DIFFERENTIATION_TARIFF_NOT_COLOR">et_union_hor!$H$182:$W$186</definedName>
    <definedName name="et_DIFFERENTIATION_TARIFF_NOT_HEAT_COLOR">et_union_hor!$H$164:$W$168</definedName>
    <definedName name="et_DIFFERENTIATION_TARIFF_NOT_HEAT_CS">et_union_hor!$179:$180</definedName>
    <definedName name="et_DIFFERENTIATION_TARIFF_NOT_HEAT_NTAR">et_union_hor!$170:$173</definedName>
    <definedName name="et_DIFFERENTIATION_TARIFF_NOT_HEAT_TER">et_union_hor!$175:$177</definedName>
    <definedName name="et_DIFFERENTIATION_TARIFF_NOT_HEAT_VTAR">et_union_hor!$164:$168</definedName>
    <definedName name="et_DIFFERENTIATION_TARIFF_NTAR">et_union_hor!$148:$151</definedName>
    <definedName name="et_DIFFERENTIATION_TARIFF_TER">et_union_hor!$153:$155</definedName>
    <definedName name="et_DIFFERENTIATION_TARIFF_VTAR">et_union_hor!$142:$146</definedName>
    <definedName name="et_DIFFERENTIATION_TKO_CLASS_TKO">et_union_hor!$190:$190</definedName>
    <definedName name="et_DIFFERENTIATION_TKO_COLOR">et_union_hor!$H$190:$AI$195</definedName>
    <definedName name="et_DIFFERENTIATION_TKO_NOT_COLOR">et_union_hor!$H$197:$AI$202</definedName>
    <definedName name="et_DIFFERENTIATION_TKO_NTAR">et_union_hor!$190:$194</definedName>
    <definedName name="et_DIFFERENTIATION_TKO_TER">et_union_hor!$190:$192</definedName>
    <definedName name="et_DIFFERENTIATION_TKO_TO">et_union_hor!$190:$193</definedName>
    <definedName name="et_DIFFERENTIATION_TKO_TYPE_TKO">et_union_hor!$190:$191</definedName>
    <definedName name="et_DIFFERENTIATION_TKO_VTAR">et_union_hor!$190:$195</definedName>
    <definedName name="et_DIFFERENTIATION_VD">et_union_hor!$19:$21</definedName>
    <definedName name="et_ED">et_union_hor!$52:$52</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et_union_hor!$69:$75</definedName>
    <definedName name="et_IP_DETAILED_EVENT">et_union_hor!$89:$93</definedName>
    <definedName name="et_IP_DETAILED_IST_FIN">et_union_hor!$85:$85</definedName>
    <definedName name="et_IP_DETAILED_OBJECT">et_union_hor!$79:$81</definedName>
    <definedName name="et_IP_DETAILED_YEAR">et_union_hor!$70:$75</definedName>
    <definedName name="et_IP_MAIN">et_union_hor!$60:$61</definedName>
    <definedName name="et_IP_MAIN_PROPERTY">et_union_hor!$65:$65</definedName>
    <definedName name="et_IP_QRE">et_union_hor!$97:$99</definedName>
    <definedName name="et_IP_QRE_CLAIM">et_union_hor!$98:$98</definedName>
    <definedName name="et_List02">et_union_hor!$142:$146</definedName>
    <definedName name="et_List02_1_wd">et_union_hor!$182:$185</definedName>
    <definedName name="et_List02_2_wd">et_union_hor!$182:$184</definedName>
    <definedName name="et_List02_3_wd">et_union_hor!$182:$183</definedName>
    <definedName name="et_List02_4_wd">et_union_hor!$182:$182</definedName>
    <definedName name="et_List02_changeColor_1">et_union_hor!$J$142:$J$145</definedName>
    <definedName name="et_List02_changeColor_1_wd">et_union_hor!$J$182:$J$185</definedName>
    <definedName name="et_List02_changeColor_2">et_union_hor!$N$142:$N$144</definedName>
    <definedName name="et_List02_changeColor_2_wd">et_union_hor!$N$182:$N$184</definedName>
    <definedName name="et_List02_changeColor_3">et_union_hor!$R$142:$R$143</definedName>
    <definedName name="et_List02_changeColor_3_wd">et_union_hor!$R$182:$R$183</definedName>
    <definedName name="et_List02_changeColor_4">et_union_hor!$V$142</definedName>
    <definedName name="et_List02_changeColor_4_wd">et_union_hor!$V$182</definedName>
    <definedName name="et_List02_wd">et_union_hor!$182:$186</definedName>
    <definedName name="et_ORG_INFO_1">et_union_hor!$35:$35</definedName>
    <definedName name="et_ORG_INFO_2">et_union_hor!$39:$39</definedName>
    <definedName name="et_ORG_TERRITORY_MO">et_union_hor!$44:$44</definedName>
    <definedName name="et_ORG_TERRITORY_MO_FLAG_INTERNET">et_union_hor!$J$44</definedName>
    <definedName name="et_ORG_TERRITORY_MO_LINK">et_union_hor!$K$44</definedName>
    <definedName name="et_ORG_VD">et_union_hor!$48:$48</definedName>
    <definedName name="et_ORG_VD_COLDVSNA">et_union_hor!$X$48:$Z$48</definedName>
    <definedName name="et_ORG_VD_FIRST_SYSTEM">et_union_hor!$E$48</definedName>
    <definedName name="et_ORG_VD_HEAT">et_union_hor!$H$48:$R$48</definedName>
    <definedName name="et_ORG_VD_HOTVSNA">et_union_hor!$AB$48:$AC$48</definedName>
    <definedName name="et_ORG_VD_TKO_ACTIVITY">'Виды объектов'!$2:$3</definedName>
    <definedName name="et_ORG_VD_TKO_TYPE_OBJECT">'Виды объектов'!$2:$2</definedName>
    <definedName name="et_ORG_VD_VOTV">et_union_hor!$T$48:$V$48</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et_union_hor!$56:$56</definedName>
    <definedName name="et_Q_TP_DIFFERENTIATION">ТП!$G:$G</definedName>
    <definedName name="et_QRE">et_union_hor!$97:$99</definedName>
    <definedName name="et_QRE_CLAIM">et_union_hor!$98:$98</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et_union_hor!$56:$56</definedName>
    <definedName name="et_TERRITORY_AREA">et_union_hor!$13:$15</definedName>
    <definedName name="et_TERRITORY_MO">et_union_hor!$14:$14</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Титульный!$F$13</definedName>
    <definedName name="f_year">Титульный!$F$12</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Титульный!$F$30</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Титульный!$F$31</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p_44">'ИП. Детализация'!$14:$74</definedName>
    <definedName name="IP_DETAILED_IST_FIN_FACT_COLUMN_MARKER">'ИП. Детализация'!$AD$7</definedName>
    <definedName name="IP_DETAILED_LIST_IP_ID">'ИП. Детализация'!$A$75:$A$75</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ip_44">'ИП. Финансовый план'!$K$11:$Q$11</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ИП!$I$11:$I$15</definedName>
    <definedName name="IP_MAIN_CHANGE_DATE">ИП!$J$11:$J$15</definedName>
    <definedName name="IP_MAIN_CLAIM">ИП!$K$11:$K$15</definedName>
    <definedName name="IP_MAIN_DATE_PARKING">ИП!$L$5</definedName>
    <definedName name="IP_MAIN_DELETE_HL_COLUMN_MARKER">ИП!$E$7</definedName>
    <definedName name="IP_MAIN_DIFFERENTIATION_EVENTS_FLAG">ИП!$H$11:$H$15</definedName>
    <definedName name="IP_MAIN_END_DATE">ИП!$O$11:$O$15</definedName>
    <definedName name="IP_MAIN_FLAG_KS">ИП!$Y$11:$Y$15</definedName>
    <definedName name="IP_MAIN_FLAG_KS_COLUMN_MARKER">ИП!$Y$7</definedName>
    <definedName name="IP_MAIN_ip_44">ИП!$13:$14</definedName>
    <definedName name="IP_MAIN_IP_FIN_PLAN_VISIBLE_FLAG">ИП!$H$17</definedName>
    <definedName name="IP_MAIN_LIST_IP_ID">ИП!$AD$11:$AD$15</definedName>
    <definedName name="IP_MAIN_LIST_NAME_IP">ИП!$G$11:$G$15</definedName>
    <definedName name="IP_MAIN_PERIOD_REALIZ_DATE">ИП!$P$11:$P$15</definedName>
    <definedName name="IP_MAIN_PR_IP_CHANGE_DATE">ИП!$X$11:$X$15</definedName>
    <definedName name="IP_MAIN_PR_IP_DATE">ИП!$T$11:$T$15</definedName>
    <definedName name="IP_MAIN_START_DATE">ИП!$N$11:$N$15</definedName>
    <definedName name="IP_QRE_ADD_HL_CLAIM_COLUMN_MARKER">'ИП. КНЭ'!$G$7</definedName>
    <definedName name="IP_QRE_ADD_HL_COLUMN_MARKER">'ИП. КНЭ'!$G$8</definedName>
    <definedName name="IP_QRE_DELETE_HL_COLUMN_MARKER">'ИП. КНЭ'!$E$8</definedName>
    <definedName name="IP_QRE_ip_44">'ИП. КНЭ'!$21:$23</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Титульный!$F$32</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Титульный!$F$35</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rg">Титульный!$F$29</definedName>
    <definedName name="Org_Address">Титульный!$F$62:$F$62</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Титульный!$F$63</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Титульный!$F$65:$F$68</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ИП!$E$11:$E$15</definedName>
    <definedName name="pDel_IP_MAIN_PROPERTY">ИП!$Z$11:$Z$15</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R_B_Purch">'Сведения о закупках'!$C$13:$C$14</definedName>
    <definedName name="periodEnd">Титульный!$F$10</definedName>
    <definedName name="PeriodIsEmpty">TEHSHEET!$I$45</definedName>
    <definedName name="PeriodIsEmptyList">TEHSHEET!$I$46:$I$53</definedName>
    <definedName name="periodStart">Титульный!$F$9</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ФХД'!$F$52</definedName>
    <definedName name="pIns_B_FHD_2">'Показатели ФХД'!$F$85</definedName>
    <definedName name="pIns_B_FHD_3">'Показатели ФХД'!$F$117</definedName>
    <definedName name="pIns_B_FHD_4">'Показатели ФХД'!$F$135</definedName>
    <definedName name="pIns_B_FHD_5">'Показатели ФХД'!$F$140</definedName>
    <definedName name="pIns_B_FHD_6">'Показатели ФХД'!$F$145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Детализация'!$F$75</definedName>
    <definedName name="pIns_IP_FIN_PLAN">'ИП. Финансовый план'!$R$8</definedName>
    <definedName name="pIns_IP_MAIN">ИП!$G$15</definedName>
    <definedName name="pIns_IP_QRE">'ИП. КНЭ'!$F$24</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HOTVSNA">'ГВС. Т-гор.вода'!$T$53</definedName>
    <definedName name="pIns_PT_VTAR_A_VOTV">'ВО. Т-во'!$T$53</definedName>
    <definedName name="pIns_PT_VTAR_B">'ТС. Т-ТЭ | ТСО'!$T$57</definedName>
    <definedName name="pIns_PT_VTAR_B_COLDVSNA">'ХВС. Т-тех'!$T$53</definedName>
    <definedName name="pIns_PT_VTAR_B_HOTVSNA">'ГВС. Т-транс'!$T$53</definedName>
    <definedName name="pIns_PT_VTAR_B_VOTV">'ВО. Т-транс'!$T$53</definedName>
    <definedName name="pIns_PT_VTAR_C">'ТС. Т-ТН'!$T$57</definedName>
    <definedName name="pIns_PT_VTAR_C_COLDVSNA">'ХВС. Т-транс'!$T$53</definedName>
    <definedName name="pIns_PT_VTAR_C_HOTVSNA">'ГВС. Т-подкл'!$T$63</definedName>
    <definedName name="pIns_PT_VTAR_C_VOTV">'ВО. Т-подкл'!$T$63</definedName>
    <definedName name="pIns_PT_VTAR_D">'ТС. Т-гор.вода'!$V$65</definedName>
    <definedName name="pIns_PT_VTAR_D_COLDVSNA">'ХВС. Т-подвоз'!$T$53</definedName>
    <definedName name="pIns_PT_VTAR_E_COLDVSNA">'ХВС. Т-подкл'!$T$63</definedName>
    <definedName name="pIns_PT_VTAR_E1">'ТС. Т-передача ТЭ'!$T$57</definedName>
    <definedName name="pIns_PT_VTAR_E2">'ТС. Т-передача ТН'!$T$57</definedName>
    <definedName name="pIns_PT_VTAR_F">'ТС. Резерв мощности'!$T$57</definedName>
    <definedName name="pIns_PT_VTAR_G">'ТС. Т-подкл'!$T$62</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3">'ТС. Т-ТН'!$45:$54</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тарифов'!$AL$12:$AL$122</definedName>
    <definedName name="PT_DIFFERENTIATION_CS_ID">'Перечень тарифов'!$AF$12:$AF$122</definedName>
    <definedName name="PT_DIFFERENTIATION_IST_TE">'Перечень тарифов'!$AM$12:$AM$122</definedName>
    <definedName name="PT_DIFFERENTIATION_IST_TE_ID">'Перечень тарифов'!$AG$12:$AG$122</definedName>
    <definedName name="PT_DIFFERENTIATION_NTAR">'Перечень тарифов'!$AJ$12:$AJ$122</definedName>
    <definedName name="PT_DIFFERENTIATION_NTAR_ID">'Перечень тарифов'!$AD$12:$AD$122</definedName>
    <definedName name="PT_DIFFERENTIATION_NUM_CS">'Перечень тарифов'!$AP$12:$AP$122</definedName>
    <definedName name="PT_DIFFERENTIATION_NUM_IST_TE">'Перечень тарифов'!$AQ$12:$AQ$122</definedName>
    <definedName name="PT_DIFFERENTIATION_NUM_NTAR">'Перечень тарифов'!$AN$12:$AN$122</definedName>
    <definedName name="PT_DIFFERENTIATION_NUM_TER">'Перечень тарифов'!$AO$12:$AO$122</definedName>
    <definedName name="PT_DIFFERENTIATION_TER">'Перечень тарифов'!$AK$12:$AK$122</definedName>
    <definedName name="PT_DIFFERENTIATION_TER_ID">'Перечень тарифов'!$AE$12:$AE$122</definedName>
    <definedName name="PT_DIFFERENTIATION_VDET">'Перечень тарифов'!$AI$12:$AI$122</definedName>
    <definedName name="PT_DIFFERENTIATION_VTAR">'Перечень тарифов'!$AH$12:$AH$122</definedName>
    <definedName name="PT_DIFFERENTIATION_VTAR_ID">'Перечень тарифов'!$AC$12:$AC$122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3">'ТС. Т-ТН'!$44:$55</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Ограничения!$F$36:$K$36</definedName>
    <definedName name="Q_LIMIT_p4">Ограничения!$F$38:$K$38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EESTR_IP_RANGE">REESTR_IP!$A$2:$D$81</definedName>
    <definedName name="REESTR_LINK_RANGE">REESTR_LINK!$A$2:$C$3</definedName>
    <definedName name="REESTR_VT_RANGE">REESTR_VT!$A$2:$B$11</definedName>
    <definedName name="REGION">TEHSHEET!$A$2:$A$87</definedName>
    <definedName name="region_name">Титульный!$F$7</definedName>
    <definedName name="RegulatoryPeriod">Титульный!$F$9:$F$10</definedName>
    <definedName name="ReportPeriod">Титульный!$F$9:$F$13</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Титульный!$F$51</definedName>
    <definedName name="TITLE_CONNECTION_FLAG">Титульный!$F$47</definedName>
    <definedName name="TITLE_DATA_TYPE">Титульный!$F$15</definedName>
    <definedName name="TITLE_DATE_BUHG">Титульный!$F$52</definedName>
    <definedName name="TITLE_DATE_CHANGE">Титульный!$F$16</definedName>
    <definedName name="TITLE_DATE_CHANGE_PERIOD">Титульный!$F$17</definedName>
    <definedName name="TITLE_DATE_FIL">Титульный!$F$11</definedName>
    <definedName name="TITLE_DATE_PARKING">Титульный!$H$5</definedName>
    <definedName name="TITLE_DATE_PR">Титульный!$F$19</definedName>
    <definedName name="TITLE_DATE_PR_CHANGE">Титульный!$F$25</definedName>
    <definedName name="TITLE_DIFFERENTIATION_TYPE">Титульный!$F$39</definedName>
    <definedName name="TITLE_FIL_YEAR">Титульный!$F$12</definedName>
    <definedName name="TITLE_FLAG_DIFF_SELLER">Титульный!$F$44</definedName>
    <definedName name="TITLE_FLAG_INTERNET">Титульный!$F$37</definedName>
    <definedName name="TITLE_FLAG_IP">Титульный!$F$56</definedName>
    <definedName name="TITLE_FLAG_IP_DETAILED">Титульный!$F$58</definedName>
    <definedName name="TITLE_FLAG_NO_DIFF_COMPONENT">Титульный!$F$45</definedName>
    <definedName name="TITLE_FLAG_NOT_REG_PRICE">Титульный!$F$49</definedName>
    <definedName name="TITLE_FLAG_REG_PRICE_IP">Титульный!$F$57</definedName>
    <definedName name="TITLE_FLAG_TKO_TRANS">Титульный!$F$60</definedName>
    <definedName name="TITLE_FLAG_TOP80_ACTIVITY">Титульный!$F$54</definedName>
    <definedName name="TITLE_HEADER_PR_CHANGE">Титульный!$F$23</definedName>
    <definedName name="TITLE_IP_DETAILED_METHOD_LIST">TEHSHEET!$AZ$15:$AZ$17</definedName>
    <definedName name="TITLE_IST_PUB">Титульный!$F$22</definedName>
    <definedName name="TITLE_IST_PUB_CHANGE">Титульный!$F$27</definedName>
    <definedName name="TITLE_NAME_OR_PR">Титульный!$F$21</definedName>
    <definedName name="TITLE_NAME_OR_PR_CHANGE">Титульный!$F$24</definedName>
    <definedName name="TITLE_NUMBER_PR">Титульный!$F$20</definedName>
    <definedName name="TITLE_NUMBER_PR_CHANGE">Титульный!$F$26</definedName>
    <definedName name="TITLE_PERIOD_END">Титульный!$F$10</definedName>
    <definedName name="TITLE_PERIOD_START">Титульный!$F$9</definedName>
    <definedName name="TITLE_TYPE_ORG">Титульный!$F$34</definedName>
    <definedName name="TKO_PT_VED_ID">TEHSHEET!$CC$19:$CC$23</definedName>
    <definedName name="TKO_PT_VED_NAME">TEHSHEET!$CD$19:$CD$23</definedName>
    <definedName name="TKO_PT_VED_NAME_LIST">TEHSHEET!$CC$19:$CD$23</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_xlnm.Print_Titles" localSheetId="3">Дифференциация!$B:$B,Дифференциация!$2:$2</definedName>
    <definedName name="_xlnm.Print_Area" localSheetId="3">Дифференциация!$B$2:$AM$17</definedName>
  </definedNames>
  <calcPr calcId="162913"/>
</workbook>
</file>

<file path=xl/calcChain.xml><?xml version="1.0" encoding="utf-8"?>
<calcChain xmlns="http://schemas.openxmlformats.org/spreadsheetml/2006/main">
  <c r="S11" i="66" l="1" a="1"/>
  <c r="S11" i="66" s="1"/>
  <c r="G11" i="66"/>
  <c r="S2" i="66" a="1"/>
  <c r="S2" i="66" s="1"/>
  <c r="G2" i="66"/>
  <c r="R10" i="65"/>
  <c r="P10" i="65" a="1"/>
  <c r="P10" i="65" s="1"/>
  <c r="F10" i="65"/>
  <c r="K8" i="65"/>
  <c r="J8" i="65"/>
  <c r="G8" i="65"/>
  <c r="E5" i="65"/>
  <c r="R2" i="65"/>
  <c r="P2" i="65" a="1"/>
  <c r="P2" i="65" s="1"/>
  <c r="F2" i="65"/>
  <c r="P9" i="64"/>
  <c r="N9" i="64" a="1"/>
  <c r="N9" i="64"/>
  <c r="E5" i="64"/>
  <c r="P2" i="64"/>
  <c r="N2" i="64" a="1"/>
  <c r="N2" i="64" s="1"/>
  <c r="D6" i="63"/>
  <c r="D5" i="63"/>
  <c r="BF63" i="54"/>
  <c r="BF62" i="54"/>
  <c r="BF61" i="54"/>
  <c r="BF60" i="54"/>
  <c r="BF59" i="54"/>
  <c r="BF58" i="54"/>
  <c r="BF57" i="54"/>
  <c r="BF56" i="54"/>
  <c r="BB56" i="54"/>
  <c r="AW56" i="54"/>
  <c r="AU56" i="54"/>
  <c r="Y56" i="54"/>
  <c r="W56" i="54"/>
  <c r="BF52" i="54"/>
  <c r="BF51" i="54"/>
  <c r="J51" i="54"/>
  <c r="BF50" i="54"/>
  <c r="I50" i="54"/>
  <c r="BF49" i="54"/>
  <c r="BF48" i="54"/>
  <c r="BF47" i="54"/>
  <c r="BF46" i="54"/>
  <c r="BC46" i="54"/>
  <c r="AY45" i="54"/>
  <c r="BA45" i="54" s="1"/>
  <c r="BB45" i="54" s="1"/>
  <c r="BC45" i="54" s="1"/>
  <c r="AX45" i="54"/>
  <c r="AW45" i="54"/>
  <c r="W45" i="54"/>
  <c r="X45" i="54" s="1"/>
  <c r="Y45" i="54" s="1"/>
  <c r="Z45" i="54" s="1"/>
  <c r="AA45" i="54" s="1"/>
  <c r="AC45" i="54" s="1"/>
  <c r="AD45" i="54" s="1"/>
  <c r="V45" i="54"/>
  <c r="U45" i="54"/>
  <c r="AD37" i="54"/>
  <c r="AD36" i="54"/>
  <c r="AD34" i="54"/>
  <c r="AD33" i="54"/>
  <c r="AD32" i="54"/>
  <c r="AD31" i="54"/>
  <c r="S29" i="54"/>
  <c r="S28" i="54"/>
  <c r="BF18" i="54"/>
  <c r="BF17" i="54"/>
  <c r="BF16" i="54"/>
  <c r="BF15" i="54"/>
  <c r="BF14" i="54"/>
  <c r="BF13" i="54"/>
  <c r="BF12" i="54"/>
  <c r="BB12" i="54"/>
  <c r="AW12" i="54"/>
  <c r="AU12" i="54"/>
  <c r="Y12" i="54"/>
  <c r="W12" i="54"/>
  <c r="BF8" i="54"/>
  <c r="S8" i="54"/>
  <c r="K8" i="54"/>
  <c r="BF7" i="54"/>
  <c r="J7" i="54"/>
  <c r="BF6" i="54"/>
  <c r="I6" i="54"/>
  <c r="BF5" i="54"/>
  <c r="BF4" i="54"/>
  <c r="AD4" i="54"/>
  <c r="S4" i="54"/>
  <c r="BF3" i="54"/>
  <c r="AD3" i="54"/>
  <c r="S3" i="54"/>
  <c r="BF2" i="54"/>
  <c r="BC2" i="54"/>
  <c r="AD2" i="54"/>
  <c r="S2" i="54"/>
  <c r="AN53" i="53"/>
  <c r="AN52" i="53"/>
  <c r="AN51" i="53"/>
  <c r="AN50" i="53"/>
  <c r="AN49" i="53"/>
  <c r="AN48" i="53"/>
  <c r="AN47" i="53"/>
  <c r="AE47" i="53"/>
  <c r="X47" i="53"/>
  <c r="AN46" i="53"/>
  <c r="AK46" i="53"/>
  <c r="AN45" i="53"/>
  <c r="AN44" i="53"/>
  <c r="AN43" i="53"/>
  <c r="AN42" i="53"/>
  <c r="AN41" i="53"/>
  <c r="AK41" i="53"/>
  <c r="V40" i="53"/>
  <c r="W40" i="53" s="1"/>
  <c r="X40" i="53" s="1"/>
  <c r="Y40" i="53" s="1"/>
  <c r="Z40" i="53" s="1"/>
  <c r="AB40" i="53" s="1"/>
  <c r="AC40" i="53" s="1"/>
  <c r="AD40" i="53" s="1"/>
  <c r="AE40" i="53" s="1"/>
  <c r="AF40" i="53" s="1"/>
  <c r="AG40" i="53" s="1"/>
  <c r="AI40" i="53" s="1"/>
  <c r="AJ40" i="53" s="1"/>
  <c r="AK40" i="53" s="1"/>
  <c r="U40" i="53"/>
  <c r="AC33" i="53"/>
  <c r="V33" i="53"/>
  <c r="AC32" i="53"/>
  <c r="V32" i="53"/>
  <c r="AC30" i="53"/>
  <c r="V30" i="53"/>
  <c r="AC29" i="53"/>
  <c r="V29" i="53"/>
  <c r="AC28" i="53"/>
  <c r="V28" i="53"/>
  <c r="AC27" i="53"/>
  <c r="V27" i="53"/>
  <c r="S25" i="53"/>
  <c r="S24" i="53"/>
  <c r="AE16" i="53"/>
  <c r="AN13" i="53"/>
  <c r="AN12" i="53"/>
  <c r="AN11" i="53"/>
  <c r="AN10" i="53"/>
  <c r="AN9" i="53"/>
  <c r="AN8" i="53"/>
  <c r="AE8" i="53"/>
  <c r="X8" i="53"/>
  <c r="AN7" i="53"/>
  <c r="AK7" i="53"/>
  <c r="AN6" i="53"/>
  <c r="J6" i="53"/>
  <c r="K7" i="53" s="1"/>
  <c r="S7" i="53" s="1"/>
  <c r="AN5" i="53"/>
  <c r="I5" i="53"/>
  <c r="S5" i="53" s="1"/>
  <c r="AN4" i="53"/>
  <c r="AC4" i="53"/>
  <c r="S4" i="53"/>
  <c r="AN3" i="53"/>
  <c r="AC3" i="53"/>
  <c r="S3" i="53"/>
  <c r="AN2" i="53"/>
  <c r="AK2" i="53"/>
  <c r="AC2" i="53"/>
  <c r="S2" i="53"/>
  <c r="AN53" i="52"/>
  <c r="AN52" i="52"/>
  <c r="AN51" i="52"/>
  <c r="AN50" i="52"/>
  <c r="AN49" i="52"/>
  <c r="AN48" i="52"/>
  <c r="AN47" i="52"/>
  <c r="AE47" i="52"/>
  <c r="X47" i="52"/>
  <c r="AN46" i="52"/>
  <c r="AK46" i="52"/>
  <c r="AN45" i="52"/>
  <c r="AN44" i="52"/>
  <c r="AN43" i="52"/>
  <c r="AN42" i="52"/>
  <c r="AN41" i="52"/>
  <c r="AK41" i="52"/>
  <c r="AB40" i="52"/>
  <c r="AC40" i="52" s="1"/>
  <c r="AD40" i="52" s="1"/>
  <c r="AE40" i="52" s="1"/>
  <c r="AF40" i="52" s="1"/>
  <c r="AG40" i="52" s="1"/>
  <c r="AI40" i="52" s="1"/>
  <c r="AJ40" i="52" s="1"/>
  <c r="AK40" i="52" s="1"/>
  <c r="U40" i="52"/>
  <c r="V40" i="52" s="1"/>
  <c r="W40" i="52" s="1"/>
  <c r="X40" i="52" s="1"/>
  <c r="Y40" i="52" s="1"/>
  <c r="Z40" i="52" s="1"/>
  <c r="AC33" i="52"/>
  <c r="V33" i="52"/>
  <c r="AC32" i="52"/>
  <c r="V32" i="52"/>
  <c r="AC30" i="52"/>
  <c r="V30" i="52"/>
  <c r="AC29" i="52"/>
  <c r="V29" i="52"/>
  <c r="AC28" i="52"/>
  <c r="V28" i="52"/>
  <c r="AC27" i="52"/>
  <c r="V27" i="52"/>
  <c r="S25" i="52"/>
  <c r="S24" i="52"/>
  <c r="AE16" i="52"/>
  <c r="AN13" i="52"/>
  <c r="AN12" i="52"/>
  <c r="AN11" i="52"/>
  <c r="AN10" i="52"/>
  <c r="AN9" i="52"/>
  <c r="AN8" i="52"/>
  <c r="AE8" i="52"/>
  <c r="X8" i="52"/>
  <c r="AN7" i="52"/>
  <c r="AK7" i="52"/>
  <c r="AN6" i="52"/>
  <c r="AN5" i="52"/>
  <c r="AN4" i="52"/>
  <c r="AC4" i="52"/>
  <c r="S4" i="52"/>
  <c r="I5" i="52" s="1"/>
  <c r="AN3" i="52"/>
  <c r="AC3" i="52"/>
  <c r="S3" i="52"/>
  <c r="AN2" i="52"/>
  <c r="AK2" i="52"/>
  <c r="AC2" i="52"/>
  <c r="S2" i="52"/>
  <c r="BF63" i="51"/>
  <c r="BF62" i="51"/>
  <c r="BF61" i="51"/>
  <c r="BF60" i="51"/>
  <c r="BF59" i="51"/>
  <c r="BF58" i="51"/>
  <c r="BF57" i="51"/>
  <c r="BF56" i="51"/>
  <c r="BB56" i="51"/>
  <c r="AW56" i="51"/>
  <c r="AU56" i="51"/>
  <c r="Y56" i="51"/>
  <c r="W56" i="51"/>
  <c r="BF52" i="51"/>
  <c r="BF51" i="51"/>
  <c r="J51" i="51"/>
  <c r="BF50" i="51"/>
  <c r="I50" i="51"/>
  <c r="BF49" i="51"/>
  <c r="BF48" i="51"/>
  <c r="BF47" i="51"/>
  <c r="BF46" i="51"/>
  <c r="BC46" i="51"/>
  <c r="AW45" i="51"/>
  <c r="AX45" i="51" s="1"/>
  <c r="AY45" i="51" s="1"/>
  <c r="BA45" i="51" s="1"/>
  <c r="BB45" i="51" s="1"/>
  <c r="BC45" i="51" s="1"/>
  <c r="U45" i="51"/>
  <c r="V45" i="51" s="1"/>
  <c r="W45" i="51" s="1"/>
  <c r="X45" i="51" s="1"/>
  <c r="Y45" i="51" s="1"/>
  <c r="Z45" i="51" s="1"/>
  <c r="AA45" i="51" s="1"/>
  <c r="AC45" i="51" s="1"/>
  <c r="AD45" i="51" s="1"/>
  <c r="AD37" i="51"/>
  <c r="AD36" i="51"/>
  <c r="AD34" i="51"/>
  <c r="AD33" i="51"/>
  <c r="AD32" i="51"/>
  <c r="AD31" i="51"/>
  <c r="S29" i="51"/>
  <c r="S28" i="51"/>
  <c r="BF18" i="51"/>
  <c r="BF17" i="51"/>
  <c r="BF16" i="51"/>
  <c r="BF15" i="51"/>
  <c r="BF14" i="51"/>
  <c r="BF13" i="51"/>
  <c r="BF12" i="51"/>
  <c r="BB12" i="51"/>
  <c r="AW12" i="51"/>
  <c r="AU12" i="51"/>
  <c r="Y12" i="51"/>
  <c r="W12" i="51"/>
  <c r="BF8" i="51"/>
  <c r="BF7" i="51"/>
  <c r="J7" i="51"/>
  <c r="BF6" i="51"/>
  <c r="I6" i="51"/>
  <c r="BF5" i="51"/>
  <c r="BF4" i="51"/>
  <c r="AD4" i="51"/>
  <c r="S4" i="51"/>
  <c r="K8" i="51" s="1"/>
  <c r="S8" i="51" s="1"/>
  <c r="BF3" i="51"/>
  <c r="AD3" i="51"/>
  <c r="S3" i="51"/>
  <c r="BF2" i="51"/>
  <c r="BC2" i="51"/>
  <c r="AD2" i="51"/>
  <c r="S2" i="51"/>
  <c r="AN53" i="50"/>
  <c r="AN52" i="50"/>
  <c r="AN51" i="50"/>
  <c r="AN50" i="50"/>
  <c r="AN49" i="50"/>
  <c r="AN48" i="50"/>
  <c r="AN47" i="50"/>
  <c r="AE47" i="50"/>
  <c r="X47" i="50"/>
  <c r="AN46" i="50"/>
  <c r="AK46" i="50"/>
  <c r="AN45" i="50"/>
  <c r="AN44" i="50"/>
  <c r="AN43" i="50"/>
  <c r="AN42" i="50"/>
  <c r="AN41" i="50"/>
  <c r="AK41" i="50"/>
  <c r="AG40" i="50"/>
  <c r="AI40" i="50" s="1"/>
  <c r="AJ40" i="50" s="1"/>
  <c r="AK40" i="50" s="1"/>
  <c r="V40" i="50"/>
  <c r="W40" i="50" s="1"/>
  <c r="X40" i="50" s="1"/>
  <c r="Y40" i="50" s="1"/>
  <c r="Z40" i="50" s="1"/>
  <c r="AB40" i="50" s="1"/>
  <c r="AC40" i="50" s="1"/>
  <c r="AD40" i="50" s="1"/>
  <c r="AE40" i="50" s="1"/>
  <c r="AF40" i="50" s="1"/>
  <c r="U40" i="50"/>
  <c r="AC33" i="50"/>
  <c r="V33" i="50"/>
  <c r="AC32" i="50"/>
  <c r="V32" i="50"/>
  <c r="AC30" i="50"/>
  <c r="V30" i="50"/>
  <c r="AC29" i="50"/>
  <c r="V29" i="50"/>
  <c r="AC28" i="50"/>
  <c r="V28" i="50"/>
  <c r="AC27" i="50"/>
  <c r="V27" i="50"/>
  <c r="S25" i="50"/>
  <c r="S24" i="50"/>
  <c r="AE16" i="50"/>
  <c r="AN13" i="50"/>
  <c r="AN12" i="50"/>
  <c r="AN11" i="50"/>
  <c r="AN10" i="50"/>
  <c r="AN9" i="50"/>
  <c r="AN8" i="50"/>
  <c r="AE8" i="50"/>
  <c r="X8" i="50"/>
  <c r="AN7" i="50"/>
  <c r="AK7" i="50"/>
  <c r="AN6" i="50"/>
  <c r="AN5" i="50"/>
  <c r="AN4" i="50"/>
  <c r="AC4" i="50"/>
  <c r="S4" i="50"/>
  <c r="I5" i="50" s="1"/>
  <c r="AN3" i="50"/>
  <c r="AC3" i="50"/>
  <c r="S3" i="50"/>
  <c r="AN2" i="50"/>
  <c r="AK2" i="50"/>
  <c r="AC2" i="50"/>
  <c r="S2" i="50"/>
  <c r="AN53" i="49"/>
  <c r="AN52" i="49"/>
  <c r="AN51" i="49"/>
  <c r="AN50" i="49"/>
  <c r="AN49" i="49"/>
  <c r="AN48" i="49"/>
  <c r="AN47" i="49"/>
  <c r="AE47" i="49"/>
  <c r="X47" i="49"/>
  <c r="AN46" i="49"/>
  <c r="AK46" i="49"/>
  <c r="AN45" i="49"/>
  <c r="AN44" i="49"/>
  <c r="AN43" i="49"/>
  <c r="AN42" i="49"/>
  <c r="AN41" i="49"/>
  <c r="AK41" i="49"/>
  <c r="AC41" i="49"/>
  <c r="Y40" i="49"/>
  <c r="Z40" i="49" s="1"/>
  <c r="AB40" i="49" s="1"/>
  <c r="AC40" i="49" s="1"/>
  <c r="AD40" i="49" s="1"/>
  <c r="AE40" i="49" s="1"/>
  <c r="AF40" i="49" s="1"/>
  <c r="AG40" i="49" s="1"/>
  <c r="AI40" i="49" s="1"/>
  <c r="AJ40" i="49" s="1"/>
  <c r="AK40" i="49" s="1"/>
  <c r="V40" i="49"/>
  <c r="W40" i="49" s="1"/>
  <c r="X40" i="49" s="1"/>
  <c r="U40" i="49"/>
  <c r="AC33" i="49"/>
  <c r="V33" i="49"/>
  <c r="AC32" i="49"/>
  <c r="V32" i="49"/>
  <c r="AC30" i="49"/>
  <c r="V30" i="49"/>
  <c r="AC29" i="49"/>
  <c r="V29" i="49"/>
  <c r="AC28" i="49"/>
  <c r="V28" i="49"/>
  <c r="AC27" i="49"/>
  <c r="V27" i="49"/>
  <c r="S25" i="49"/>
  <c r="S24" i="49"/>
  <c r="AE16" i="49"/>
  <c r="AN13" i="49"/>
  <c r="AN12" i="49"/>
  <c r="AN11" i="49"/>
  <c r="AN10" i="49"/>
  <c r="AN9" i="49"/>
  <c r="AN8" i="49"/>
  <c r="AE8" i="49"/>
  <c r="X8" i="49"/>
  <c r="AN7" i="49"/>
  <c r="AK7" i="49"/>
  <c r="AN6" i="49"/>
  <c r="AN5" i="49"/>
  <c r="AN4" i="49"/>
  <c r="AC4" i="49"/>
  <c r="S4" i="49"/>
  <c r="I5" i="49" s="1"/>
  <c r="AN3" i="49"/>
  <c r="AC3" i="49"/>
  <c r="S3" i="49"/>
  <c r="AN2" i="49"/>
  <c r="AK2" i="49"/>
  <c r="AC2" i="49"/>
  <c r="S2" i="49"/>
  <c r="F21" i="48"/>
  <c r="F6" i="48"/>
  <c r="K57" i="47"/>
  <c r="H57" i="47"/>
  <c r="K56" i="47"/>
  <c r="H56" i="47"/>
  <c r="K55" i="47"/>
  <c r="H55" i="47"/>
  <c r="P54" i="47"/>
  <c r="O54" i="47"/>
  <c r="N54" i="47"/>
  <c r="M54" i="47"/>
  <c r="L54" i="47"/>
  <c r="K54" i="47" s="1"/>
  <c r="I54" i="47"/>
  <c r="H54" i="47" s="1"/>
  <c r="K53" i="47"/>
  <c r="H53" i="47"/>
  <c r="K52" i="47"/>
  <c r="H52" i="47"/>
  <c r="K51" i="47"/>
  <c r="H51" i="47"/>
  <c r="K50" i="47"/>
  <c r="H50" i="47"/>
  <c r="P49" i="47"/>
  <c r="O49" i="47"/>
  <c r="N49" i="47"/>
  <c r="N48" i="47" s="1"/>
  <c r="N58" i="47" s="1"/>
  <c r="M49" i="47"/>
  <c r="M48" i="47" s="1"/>
  <c r="L49" i="47"/>
  <c r="I49" i="47"/>
  <c r="H49" i="47" s="1"/>
  <c r="P48" i="47"/>
  <c r="O48" i="47"/>
  <c r="L48" i="47"/>
  <c r="I48" i="47"/>
  <c r="H48" i="47" s="1"/>
  <c r="K47" i="47"/>
  <c r="H47" i="47"/>
  <c r="K46" i="47"/>
  <c r="H46" i="47"/>
  <c r="K45" i="47"/>
  <c r="H45" i="47"/>
  <c r="P44" i="47"/>
  <c r="O44" i="47"/>
  <c r="N44" i="47"/>
  <c r="M44" i="47"/>
  <c r="L44" i="47"/>
  <c r="K44" i="47" s="1"/>
  <c r="I44" i="47"/>
  <c r="H44" i="47"/>
  <c r="K43" i="47"/>
  <c r="H43" i="47"/>
  <c r="K42" i="47"/>
  <c r="H42" i="47"/>
  <c r="K41" i="47"/>
  <c r="H41" i="47"/>
  <c r="K40" i="47"/>
  <c r="H40" i="47"/>
  <c r="P39" i="47"/>
  <c r="P38" i="47" s="1"/>
  <c r="P58" i="47" s="1"/>
  <c r="O39" i="47"/>
  <c r="O38" i="47" s="1"/>
  <c r="O58" i="47" s="1"/>
  <c r="N39" i="47"/>
  <c r="M39" i="47"/>
  <c r="M38" i="47" s="1"/>
  <c r="M58" i="47" s="1"/>
  <c r="L39" i="47"/>
  <c r="I39" i="47"/>
  <c r="I38" i="47" s="1"/>
  <c r="N38" i="47"/>
  <c r="L38" i="47"/>
  <c r="K35" i="47"/>
  <c r="H35" i="47"/>
  <c r="K34" i="47"/>
  <c r="H34" i="47"/>
  <c r="K33" i="47"/>
  <c r="H33" i="47"/>
  <c r="P32" i="47"/>
  <c r="O32" i="47"/>
  <c r="N32" i="47"/>
  <c r="M32" i="47"/>
  <c r="L32" i="47"/>
  <c r="K32" i="47" s="1"/>
  <c r="I32" i="47"/>
  <c r="H32" i="47" s="1"/>
  <c r="K31" i="47"/>
  <c r="H31" i="47"/>
  <c r="K30" i="47"/>
  <c r="H30" i="47"/>
  <c r="K29" i="47"/>
  <c r="H29" i="47"/>
  <c r="P28" i="47"/>
  <c r="O28" i="47"/>
  <c r="N28" i="47"/>
  <c r="M28" i="47"/>
  <c r="L28" i="47"/>
  <c r="K28" i="47" s="1"/>
  <c r="I28" i="47"/>
  <c r="H28" i="47"/>
  <c r="K27" i="47"/>
  <c r="H27" i="47"/>
  <c r="K26" i="47"/>
  <c r="H26" i="47"/>
  <c r="K25" i="47"/>
  <c r="H25" i="47"/>
  <c r="K24" i="47"/>
  <c r="H24" i="47"/>
  <c r="K23" i="47"/>
  <c r="H23" i="47"/>
  <c r="K22" i="47"/>
  <c r="H22" i="47"/>
  <c r="K21" i="47"/>
  <c r="H21" i="47"/>
  <c r="K20" i="47"/>
  <c r="H20" i="47"/>
  <c r="K19" i="47"/>
  <c r="H19" i="47"/>
  <c r="K18" i="47"/>
  <c r="H18" i="47"/>
  <c r="K17" i="47"/>
  <c r="H17" i="47"/>
  <c r="K16" i="47"/>
  <c r="H16" i="47"/>
  <c r="P15" i="47"/>
  <c r="P36" i="47" s="1"/>
  <c r="O15" i="47"/>
  <c r="O36" i="47" s="1"/>
  <c r="N15" i="47"/>
  <c r="N36" i="47" s="1"/>
  <c r="M15" i="47"/>
  <c r="M36" i="47" s="1"/>
  <c r="L15" i="47"/>
  <c r="I15" i="47"/>
  <c r="I36" i="47" s="1"/>
  <c r="H36" i="47" s="1"/>
  <c r="K11" i="47"/>
  <c r="H11" i="47"/>
  <c r="F6" i="47"/>
  <c r="AD71" i="46"/>
  <c r="AD70" i="46"/>
  <c r="AD65" i="46"/>
  <c r="AD59" i="46"/>
  <c r="AD58" i="46"/>
  <c r="AD53" i="46"/>
  <c r="AD47" i="46"/>
  <c r="AD46" i="46"/>
  <c r="AD41" i="46"/>
  <c r="AD35" i="46"/>
  <c r="AD34" i="46"/>
  <c r="AD29" i="46"/>
  <c r="AD23" i="46"/>
  <c r="AD22" i="46"/>
  <c r="AD17" i="46"/>
  <c r="F14" i="46"/>
  <c r="F6" i="46"/>
  <c r="H17" i="45"/>
  <c r="P13" i="45"/>
  <c r="F6" i="45"/>
  <c r="J12" i="44"/>
  <c r="I12" i="44"/>
  <c r="H12" i="44"/>
  <c r="G12" i="44"/>
  <c r="G9" i="44"/>
  <c r="G8" i="44"/>
  <c r="G7" i="44"/>
  <c r="D4" i="44"/>
  <c r="E28" i="43"/>
  <c r="I27" i="43"/>
  <c r="I16" i="43" s="1"/>
  <c r="H27" i="43"/>
  <c r="H16" i="43" s="1"/>
  <c r="H12" i="43"/>
  <c r="H11" i="43"/>
  <c r="H10" i="43"/>
  <c r="E7" i="43"/>
  <c r="E33" i="42"/>
  <c r="I32" i="42"/>
  <c r="I16" i="42" s="1"/>
  <c r="H32" i="42"/>
  <c r="H16" i="42" s="1"/>
  <c r="H12" i="42"/>
  <c r="H11" i="42"/>
  <c r="H10" i="42"/>
  <c r="E7" i="42"/>
  <c r="V20" i="41"/>
  <c r="Q20" i="41"/>
  <c r="V17" i="41"/>
  <c r="Q17" i="41"/>
  <c r="E6" i="41"/>
  <c r="I128" i="40"/>
  <c r="I113" i="40"/>
  <c r="I101" i="40"/>
  <c r="H101" i="40"/>
  <c r="I88" i="40"/>
  <c r="I81" i="40"/>
  <c r="H81" i="40"/>
  <c r="I67" i="40"/>
  <c r="I64" i="40"/>
  <c r="I61" i="40"/>
  <c r="K52" i="40"/>
  <c r="I47" i="40"/>
  <c r="H47" i="40"/>
  <c r="I41" i="40"/>
  <c r="H41" i="40"/>
  <c r="K39" i="40"/>
  <c r="K38" i="40"/>
  <c r="K37" i="40"/>
  <c r="K36" i="40"/>
  <c r="K35" i="40"/>
  <c r="K34" i="40"/>
  <c r="I33" i="40"/>
  <c r="H33" i="40"/>
  <c r="H27" i="40"/>
  <c r="H26" i="40"/>
  <c r="H25" i="40"/>
  <c r="E22" i="40"/>
  <c r="E7" i="40"/>
  <c r="E6" i="40"/>
  <c r="E5" i="40"/>
  <c r="E4" i="40"/>
  <c r="I3" i="40"/>
  <c r="H3" i="40"/>
  <c r="E2" i="40"/>
  <c r="BF63" i="39"/>
  <c r="BF62" i="39"/>
  <c r="BF61" i="39"/>
  <c r="BF60" i="39"/>
  <c r="BF59" i="39"/>
  <c r="BF58" i="39"/>
  <c r="BF57" i="39"/>
  <c r="BF56" i="39"/>
  <c r="BB56" i="39"/>
  <c r="AW56" i="39"/>
  <c r="AU56" i="39"/>
  <c r="Y56" i="39"/>
  <c r="W56" i="39"/>
  <c r="BF52" i="39"/>
  <c r="BF51" i="39"/>
  <c r="J51" i="39"/>
  <c r="BF50" i="39"/>
  <c r="I50" i="39"/>
  <c r="BF49" i="39"/>
  <c r="BF48" i="39"/>
  <c r="BF47" i="39"/>
  <c r="BF46" i="39"/>
  <c r="BC46" i="39"/>
  <c r="BB45" i="39"/>
  <c r="BC45" i="39" s="1"/>
  <c r="AY45" i="39"/>
  <c r="BA45" i="39" s="1"/>
  <c r="AX45" i="39"/>
  <c r="AW45" i="39"/>
  <c r="X45" i="39"/>
  <c r="Y45" i="39" s="1"/>
  <c r="Z45" i="39" s="1"/>
  <c r="AA45" i="39" s="1"/>
  <c r="AC45" i="39" s="1"/>
  <c r="AD45" i="39" s="1"/>
  <c r="V45" i="39"/>
  <c r="W45" i="39" s="1"/>
  <c r="U45" i="39"/>
  <c r="AD37" i="39"/>
  <c r="AD36" i="39"/>
  <c r="AD34" i="39"/>
  <c r="AD33" i="39"/>
  <c r="AD32" i="39"/>
  <c r="AD31" i="39"/>
  <c r="S29" i="39"/>
  <c r="S28" i="39"/>
  <c r="BF18" i="39"/>
  <c r="BF17" i="39"/>
  <c r="BF16" i="39"/>
  <c r="BF15" i="39"/>
  <c r="BF14" i="39"/>
  <c r="BF13" i="39"/>
  <c r="BF12" i="39"/>
  <c r="BB12" i="39"/>
  <c r="AW12" i="39"/>
  <c r="AU12" i="39"/>
  <c r="Y12" i="39"/>
  <c r="W12" i="39"/>
  <c r="BF8" i="39"/>
  <c r="K8" i="39"/>
  <c r="S8" i="39" s="1"/>
  <c r="BF7" i="39"/>
  <c r="J7" i="39"/>
  <c r="BF6" i="39"/>
  <c r="I6" i="39"/>
  <c r="BF5" i="39"/>
  <c r="BF4" i="39"/>
  <c r="AD4" i="39"/>
  <c r="S4" i="39"/>
  <c r="BF3" i="39"/>
  <c r="AD3" i="39"/>
  <c r="S3" i="39"/>
  <c r="BF2" i="39"/>
  <c r="BC2" i="39"/>
  <c r="AD2" i="39"/>
  <c r="S2" i="39"/>
  <c r="AN53" i="38"/>
  <c r="AN52" i="38"/>
  <c r="AN51" i="38"/>
  <c r="AN50" i="38"/>
  <c r="AN49" i="38"/>
  <c r="AN48" i="38"/>
  <c r="AN47" i="38"/>
  <c r="AE47" i="38"/>
  <c r="X47" i="38"/>
  <c r="AN46" i="38"/>
  <c r="AK46" i="38"/>
  <c r="AN45" i="38"/>
  <c r="AN44" i="38"/>
  <c r="AN43" i="38"/>
  <c r="AN42" i="38"/>
  <c r="AN41" i="38"/>
  <c r="AK41" i="38"/>
  <c r="U40" i="38"/>
  <c r="V40" i="38" s="1"/>
  <c r="W40" i="38" s="1"/>
  <c r="X40" i="38" s="1"/>
  <c r="Y40" i="38" s="1"/>
  <c r="Z40" i="38" s="1"/>
  <c r="AB40" i="38" s="1"/>
  <c r="AC40" i="38" s="1"/>
  <c r="AD40" i="38" s="1"/>
  <c r="AE40" i="38" s="1"/>
  <c r="AF40" i="38" s="1"/>
  <c r="AG40" i="38" s="1"/>
  <c r="AI40" i="38" s="1"/>
  <c r="AJ40" i="38" s="1"/>
  <c r="AK40" i="38" s="1"/>
  <c r="AC33" i="38"/>
  <c r="V33" i="38"/>
  <c r="AC32" i="38"/>
  <c r="V32" i="38"/>
  <c r="AC30" i="38"/>
  <c r="V30" i="38"/>
  <c r="AC29" i="38"/>
  <c r="V29" i="38"/>
  <c r="AC28" i="38"/>
  <c r="V28" i="38"/>
  <c r="AC27" i="38"/>
  <c r="V27" i="38"/>
  <c r="S25" i="38"/>
  <c r="S24" i="38"/>
  <c r="AE16" i="38"/>
  <c r="AN13" i="38"/>
  <c r="AN12" i="38"/>
  <c r="AN11" i="38"/>
  <c r="AN10" i="38"/>
  <c r="AN9" i="38"/>
  <c r="AN8" i="38"/>
  <c r="AE8" i="38"/>
  <c r="X8" i="38"/>
  <c r="AN7" i="38"/>
  <c r="AK7" i="38"/>
  <c r="AN6" i="38"/>
  <c r="AN5" i="38"/>
  <c r="I5" i="38"/>
  <c r="AN4" i="38"/>
  <c r="AC4" i="38"/>
  <c r="S4" i="38"/>
  <c r="AN3" i="38"/>
  <c r="AC3" i="38"/>
  <c r="S3" i="38"/>
  <c r="AN2" i="38"/>
  <c r="AK2" i="38"/>
  <c r="AC2" i="38"/>
  <c r="S2" i="38"/>
  <c r="AN53" i="37"/>
  <c r="AN52" i="37"/>
  <c r="AN51" i="37"/>
  <c r="AN50" i="37"/>
  <c r="AN49" i="37"/>
  <c r="AN48" i="37"/>
  <c r="AN47" i="37"/>
  <c r="AE47" i="37"/>
  <c r="X47" i="37"/>
  <c r="AN46" i="37"/>
  <c r="AK46" i="37"/>
  <c r="AN45" i="37"/>
  <c r="AN44" i="37"/>
  <c r="AN43" i="37"/>
  <c r="AN42" i="37"/>
  <c r="S42" i="37"/>
  <c r="AN41" i="37"/>
  <c r="AK41" i="37"/>
  <c r="AC40" i="37"/>
  <c r="AD40" i="37" s="1"/>
  <c r="AE40" i="37" s="1"/>
  <c r="AF40" i="37" s="1"/>
  <c r="AG40" i="37" s="1"/>
  <c r="AI40" i="37" s="1"/>
  <c r="AJ40" i="37" s="1"/>
  <c r="AK40" i="37" s="1"/>
  <c r="Z40" i="37"/>
  <c r="AB40" i="37" s="1"/>
  <c r="X40" i="37"/>
  <c r="Y40" i="37" s="1"/>
  <c r="W40" i="37"/>
  <c r="V40" i="37"/>
  <c r="U40" i="37"/>
  <c r="AC33" i="37"/>
  <c r="V33" i="37"/>
  <c r="AC32" i="37"/>
  <c r="V32" i="37"/>
  <c r="AC30" i="37"/>
  <c r="V30" i="37"/>
  <c r="AC29" i="37"/>
  <c r="V29" i="37"/>
  <c r="AC28" i="37"/>
  <c r="V28" i="37"/>
  <c r="AC27" i="37"/>
  <c r="V27" i="37"/>
  <c r="S25" i="37"/>
  <c r="S24" i="37"/>
  <c r="AE16" i="37"/>
  <c r="AN13" i="37"/>
  <c r="AN12" i="37"/>
  <c r="AN11" i="37"/>
  <c r="AN10" i="37"/>
  <c r="AN9" i="37"/>
  <c r="AN8" i="37"/>
  <c r="AE8" i="37"/>
  <c r="X8" i="37"/>
  <c r="AN7" i="37"/>
  <c r="AK7" i="37"/>
  <c r="AN6" i="37"/>
  <c r="J6" i="37"/>
  <c r="AN5" i="37"/>
  <c r="S5" i="37"/>
  <c r="I5" i="37"/>
  <c r="AN4" i="37"/>
  <c r="AC4" i="37"/>
  <c r="S4" i="37"/>
  <c r="AN3" i="37"/>
  <c r="AC3" i="37"/>
  <c r="S3" i="37"/>
  <c r="AN2" i="37"/>
  <c r="AK2" i="37"/>
  <c r="AC2" i="37"/>
  <c r="S2" i="37"/>
  <c r="AN53" i="36"/>
  <c r="AN52" i="36"/>
  <c r="AN51" i="36"/>
  <c r="AN50" i="36"/>
  <c r="AN49" i="36"/>
  <c r="AN48" i="36"/>
  <c r="AN47" i="36"/>
  <c r="AE47" i="36"/>
  <c r="X47" i="36"/>
  <c r="AN46" i="36"/>
  <c r="AK46" i="36"/>
  <c r="AN45" i="36"/>
  <c r="AN44" i="36"/>
  <c r="AN43" i="36"/>
  <c r="AN42" i="36"/>
  <c r="AN41" i="36"/>
  <c r="AK41" i="36"/>
  <c r="U40" i="36"/>
  <c r="V40" i="36" s="1"/>
  <c r="W40" i="36" s="1"/>
  <c r="X40" i="36" s="1"/>
  <c r="Y40" i="36" s="1"/>
  <c r="Z40" i="36" s="1"/>
  <c r="AB40" i="36" s="1"/>
  <c r="AC40" i="36" s="1"/>
  <c r="AD40" i="36" s="1"/>
  <c r="AE40" i="36" s="1"/>
  <c r="AF40" i="36" s="1"/>
  <c r="AG40" i="36" s="1"/>
  <c r="AI40" i="36" s="1"/>
  <c r="AJ40" i="36" s="1"/>
  <c r="AK40" i="36" s="1"/>
  <c r="AC33" i="36"/>
  <c r="V33" i="36"/>
  <c r="AC32" i="36"/>
  <c r="V32" i="36"/>
  <c r="AC30" i="36"/>
  <c r="V30" i="36"/>
  <c r="AC29" i="36"/>
  <c r="V29" i="36"/>
  <c r="AC28" i="36"/>
  <c r="V28" i="36"/>
  <c r="AC27" i="36"/>
  <c r="V27" i="36"/>
  <c r="S25" i="36"/>
  <c r="S24" i="36"/>
  <c r="AE16" i="36"/>
  <c r="AN13" i="36"/>
  <c r="AN12" i="36"/>
  <c r="AN11" i="36"/>
  <c r="AN10" i="36"/>
  <c r="AN9" i="36"/>
  <c r="AN8" i="36"/>
  <c r="AE8" i="36"/>
  <c r="X8" i="36"/>
  <c r="AN7" i="36"/>
  <c r="AK7" i="36"/>
  <c r="AN6" i="36"/>
  <c r="AN5" i="36"/>
  <c r="AN4" i="36"/>
  <c r="AC4" i="36"/>
  <c r="S4" i="36"/>
  <c r="I5" i="36" s="1"/>
  <c r="AN3" i="36"/>
  <c r="AC3" i="36"/>
  <c r="S3" i="36"/>
  <c r="AN2" i="36"/>
  <c r="AK2" i="36"/>
  <c r="AC2" i="36"/>
  <c r="S2" i="36"/>
  <c r="AN53" i="35"/>
  <c r="AN52" i="35"/>
  <c r="AN51" i="35"/>
  <c r="AN50" i="35"/>
  <c r="AN49" i="35"/>
  <c r="AN48" i="35"/>
  <c r="AN47" i="35"/>
  <c r="AE47" i="35"/>
  <c r="X47" i="35"/>
  <c r="AN46" i="35"/>
  <c r="AK46" i="35"/>
  <c r="AN45" i="35"/>
  <c r="AN44" i="35"/>
  <c r="AN43" i="35"/>
  <c r="AN42" i="35"/>
  <c r="AN41" i="35"/>
  <c r="AK41" i="35"/>
  <c r="W40" i="35"/>
  <c r="X40" i="35" s="1"/>
  <c r="Y40" i="35" s="1"/>
  <c r="Z40" i="35" s="1"/>
  <c r="AB40" i="35" s="1"/>
  <c r="AC40" i="35" s="1"/>
  <c r="AD40" i="35" s="1"/>
  <c r="AE40" i="35" s="1"/>
  <c r="AF40" i="35" s="1"/>
  <c r="AG40" i="35" s="1"/>
  <c r="AI40" i="35" s="1"/>
  <c r="AJ40" i="35" s="1"/>
  <c r="AK40" i="35" s="1"/>
  <c r="V40" i="35"/>
  <c r="U40" i="35"/>
  <c r="AC33" i="35"/>
  <c r="V33" i="35"/>
  <c r="AC32" i="35"/>
  <c r="V32" i="35"/>
  <c r="AC30" i="35"/>
  <c r="V30" i="35"/>
  <c r="AC29" i="35"/>
  <c r="V29" i="35"/>
  <c r="AC28" i="35"/>
  <c r="V28" i="35"/>
  <c r="AC27" i="35"/>
  <c r="V27" i="35"/>
  <c r="S25" i="35"/>
  <c r="S24" i="35"/>
  <c r="AE16" i="35"/>
  <c r="AN13" i="35"/>
  <c r="AN12" i="35"/>
  <c r="AN11" i="35"/>
  <c r="AN10" i="35"/>
  <c r="AN9" i="35"/>
  <c r="AN8" i="35"/>
  <c r="AE8" i="35"/>
  <c r="X8" i="35"/>
  <c r="AN7" i="35"/>
  <c r="AK7" i="35"/>
  <c r="AN6" i="35"/>
  <c r="AN5" i="35"/>
  <c r="I5" i="35"/>
  <c r="J6" i="35" s="1"/>
  <c r="AN4" i="35"/>
  <c r="AC4" i="35"/>
  <c r="S4" i="35"/>
  <c r="AN3" i="35"/>
  <c r="AC3" i="35"/>
  <c r="S3" i="35"/>
  <c r="AN2" i="35"/>
  <c r="AK2" i="35"/>
  <c r="AC2" i="35"/>
  <c r="S2" i="35"/>
  <c r="F8" i="34"/>
  <c r="E8" i="34"/>
  <c r="F7" i="34"/>
  <c r="E7" i="34"/>
  <c r="G28" i="33"/>
  <c r="G27" i="33"/>
  <c r="G26" i="33"/>
  <c r="D23" i="33"/>
  <c r="D14" i="33"/>
  <c r="D13" i="33"/>
  <c r="D11" i="33"/>
  <c r="D10" i="33"/>
  <c r="D9" i="33"/>
  <c r="D7" i="33"/>
  <c r="D6" i="33"/>
  <c r="D4" i="33"/>
  <c r="D3" i="33"/>
  <c r="F21" i="32"/>
  <c r="H19" i="32"/>
  <c r="G19" i="32"/>
  <c r="F19" i="32"/>
  <c r="H14" i="32"/>
  <c r="G14" i="32"/>
  <c r="G11" i="32"/>
  <c r="G10" i="32"/>
  <c r="G9" i="32"/>
  <c r="D6" i="32"/>
  <c r="F2" i="32"/>
  <c r="I14" i="31"/>
  <c r="G14" i="31"/>
  <c r="G11" i="31"/>
  <c r="G10" i="31"/>
  <c r="G9" i="31"/>
  <c r="D6" i="31"/>
  <c r="E13" i="29"/>
  <c r="H12" i="29"/>
  <c r="E12" i="29"/>
  <c r="E11" i="29"/>
  <c r="E10" i="29"/>
  <c r="D6" i="29"/>
  <c r="D15" i="28"/>
  <c r="D14" i="28"/>
  <c r="R24" i="27"/>
  <c r="O18" i="27"/>
  <c r="P18" i="27" s="1"/>
  <c r="Q18" i="27" s="1"/>
  <c r="R18" i="27" s="1"/>
  <c r="S18" i="27" s="1"/>
  <c r="T18" i="27" s="1"/>
  <c r="V18" i="27" s="1"/>
  <c r="X18" i="27" s="1"/>
  <c r="O10" i="27"/>
  <c r="O9" i="27"/>
  <c r="O8" i="27"/>
  <c r="O7" i="27"/>
  <c r="AA32" i="26"/>
  <c r="AA31" i="26"/>
  <c r="AA30" i="26"/>
  <c r="AA29" i="26"/>
  <c r="AA28" i="26"/>
  <c r="AA27" i="26"/>
  <c r="AA26" i="26"/>
  <c r="R26" i="26"/>
  <c r="AA25" i="26"/>
  <c r="AA24" i="26"/>
  <c r="AA23" i="26"/>
  <c r="L23" i="26"/>
  <c r="F23" i="26"/>
  <c r="G24" i="26" s="1"/>
  <c r="AA22" i="26"/>
  <c r="O22" i="26"/>
  <c r="L22" i="26"/>
  <c r="AA21" i="26"/>
  <c r="O21" i="26"/>
  <c r="L21" i="26"/>
  <c r="AA20" i="26"/>
  <c r="O20" i="26"/>
  <c r="L20" i="26"/>
  <c r="AA19" i="26"/>
  <c r="O19" i="26"/>
  <c r="L19" i="26"/>
  <c r="Q18" i="26"/>
  <c r="R18" i="26" s="1"/>
  <c r="S18" i="26" s="1"/>
  <c r="T18" i="26" s="1"/>
  <c r="V18" i="26" s="1"/>
  <c r="W18" i="26" s="1"/>
  <c r="X18" i="26" s="1"/>
  <c r="N18" i="26"/>
  <c r="O18" i="26" s="1"/>
  <c r="O11" i="26"/>
  <c r="O10" i="26"/>
  <c r="O9" i="26"/>
  <c r="O8" i="26"/>
  <c r="L6" i="26"/>
  <c r="AA32" i="25"/>
  <c r="AA31" i="25"/>
  <c r="AA30" i="25"/>
  <c r="AA29" i="25"/>
  <c r="AA28" i="25"/>
  <c r="AA27" i="25"/>
  <c r="AA26" i="25"/>
  <c r="R26" i="25"/>
  <c r="AA25" i="25"/>
  <c r="AA24" i="25"/>
  <c r="AA23" i="25"/>
  <c r="AA22" i="25"/>
  <c r="O22" i="25"/>
  <c r="L22" i="25"/>
  <c r="F23" i="25" s="1"/>
  <c r="AA21" i="25"/>
  <c r="O21" i="25"/>
  <c r="L21" i="25"/>
  <c r="AA20" i="25"/>
  <c r="O20" i="25"/>
  <c r="L20" i="25"/>
  <c r="AA19" i="25"/>
  <c r="O19" i="25"/>
  <c r="L19" i="25"/>
  <c r="S18" i="25"/>
  <c r="T18" i="25" s="1"/>
  <c r="V18" i="25" s="1"/>
  <c r="W18" i="25" s="1"/>
  <c r="X18" i="25" s="1"/>
  <c r="R18" i="25"/>
  <c r="Q18" i="25"/>
  <c r="O18" i="25"/>
  <c r="N18" i="25"/>
  <c r="O11" i="25"/>
  <c r="O10" i="25"/>
  <c r="O9" i="25"/>
  <c r="O8" i="25"/>
  <c r="L6" i="25"/>
  <c r="AA32" i="24"/>
  <c r="AA31" i="24"/>
  <c r="AA30" i="24"/>
  <c r="AA29" i="24"/>
  <c r="AA28" i="24"/>
  <c r="AA27" i="24"/>
  <c r="AA26" i="24"/>
  <c r="R26" i="24"/>
  <c r="AA25" i="24"/>
  <c r="AA24" i="24"/>
  <c r="AA23" i="24"/>
  <c r="AA22" i="24"/>
  <c r="AA21" i="24"/>
  <c r="AA20" i="24"/>
  <c r="O20" i="24"/>
  <c r="AA19" i="24"/>
  <c r="Q18" i="24"/>
  <c r="R18" i="24" s="1"/>
  <c r="S18" i="24" s="1"/>
  <c r="T18" i="24" s="1"/>
  <c r="V18" i="24" s="1"/>
  <c r="W18" i="24" s="1"/>
  <c r="X18" i="24" s="1"/>
  <c r="O18" i="24"/>
  <c r="N18" i="24"/>
  <c r="O11" i="24"/>
  <c r="O10" i="24"/>
  <c r="O9" i="24"/>
  <c r="O8" i="24"/>
  <c r="L6" i="24"/>
  <c r="AX62" i="23"/>
  <c r="AX61" i="23"/>
  <c r="AX60" i="23"/>
  <c r="AX59" i="23"/>
  <c r="AX58" i="23"/>
  <c r="AX57" i="23"/>
  <c r="AX56" i="23"/>
  <c r="AX55" i="23"/>
  <c r="AX54" i="23"/>
  <c r="AO54" i="23"/>
  <c r="W54" i="23"/>
  <c r="AX51" i="23"/>
  <c r="AX50" i="23"/>
  <c r="AX49" i="23"/>
  <c r="AX48" i="23"/>
  <c r="AX47" i="23"/>
  <c r="AX46" i="23"/>
  <c r="AX45" i="23"/>
  <c r="AO44" i="23"/>
  <c r="AP44" i="23" s="1"/>
  <c r="AQ44" i="23" s="1"/>
  <c r="AS44" i="23" s="1"/>
  <c r="AT44" i="23" s="1"/>
  <c r="AU44" i="23" s="1"/>
  <c r="AN44" i="23"/>
  <c r="X44" i="23"/>
  <c r="Y44" i="23" s="1"/>
  <c r="AA44" i="23" s="1"/>
  <c r="AB44" i="23" s="1"/>
  <c r="W44" i="23"/>
  <c r="V44" i="23"/>
  <c r="U44" i="23"/>
  <c r="AB36" i="23"/>
  <c r="AB35" i="23"/>
  <c r="AB33" i="23"/>
  <c r="AB32" i="23"/>
  <c r="AB31" i="23"/>
  <c r="AB30" i="23"/>
  <c r="S28" i="23"/>
  <c r="S27" i="23"/>
  <c r="AX17" i="23"/>
  <c r="AX16" i="23"/>
  <c r="AX15" i="23"/>
  <c r="AX14" i="23"/>
  <c r="AX13" i="23"/>
  <c r="AX12" i="23"/>
  <c r="AX11" i="23"/>
  <c r="AO11" i="23"/>
  <c r="W11" i="23"/>
  <c r="AX8" i="23"/>
  <c r="K8" i="23"/>
  <c r="S8" i="23" s="1"/>
  <c r="AX7" i="23"/>
  <c r="J7" i="23"/>
  <c r="AX6" i="23"/>
  <c r="I6" i="23"/>
  <c r="AX5" i="23"/>
  <c r="AB5" i="23"/>
  <c r="S5" i="23"/>
  <c r="AX4" i="23"/>
  <c r="AB4" i="23"/>
  <c r="S4" i="23"/>
  <c r="AX3" i="23"/>
  <c r="AB3" i="23"/>
  <c r="S3" i="23"/>
  <c r="AX2" i="23"/>
  <c r="AB2" i="23"/>
  <c r="S2" i="23"/>
  <c r="AT65" i="22"/>
  <c r="AT64" i="22"/>
  <c r="AT63" i="22"/>
  <c r="AT62" i="22"/>
  <c r="AT61" i="22"/>
  <c r="AT60" i="22"/>
  <c r="AT59" i="22"/>
  <c r="AT58" i="22"/>
  <c r="AT57" i="22"/>
  <c r="AK57" i="22"/>
  <c r="AB57" i="22"/>
  <c r="AT56" i="22"/>
  <c r="AT55" i="22"/>
  <c r="AT54" i="22"/>
  <c r="AT53" i="22"/>
  <c r="AT52" i="22"/>
  <c r="AT51" i="22"/>
  <c r="AT50" i="22"/>
  <c r="AT49" i="22"/>
  <c r="AQ49" i="22"/>
  <c r="AJ48" i="22"/>
  <c r="AK48" i="22" s="1"/>
  <c r="AL48" i="22" s="1"/>
  <c r="AM48" i="22" s="1"/>
  <c r="AO48" i="22" s="1"/>
  <c r="AP48" i="22" s="1"/>
  <c r="AQ48" i="22" s="1"/>
  <c r="AF48" i="22"/>
  <c r="AG48" i="22" s="1"/>
  <c r="AD48" i="22"/>
  <c r="AC48" i="22"/>
  <c r="AB48" i="22"/>
  <c r="AA48" i="22"/>
  <c r="X48" i="22"/>
  <c r="W48" i="22"/>
  <c r="AG39" i="22"/>
  <c r="X39" i="22"/>
  <c r="AG38" i="22"/>
  <c r="X38" i="22"/>
  <c r="AG36" i="22"/>
  <c r="X36" i="22"/>
  <c r="AG35" i="22"/>
  <c r="X35" i="22"/>
  <c r="AG34" i="22"/>
  <c r="X34" i="22"/>
  <c r="AG33" i="22"/>
  <c r="X33" i="22"/>
  <c r="U31" i="22"/>
  <c r="U30" i="22"/>
  <c r="AK22" i="22"/>
  <c r="AT17" i="22"/>
  <c r="AT16" i="22"/>
  <c r="AT15" i="22"/>
  <c r="AT14" i="22"/>
  <c r="AT13" i="22"/>
  <c r="AT12" i="22"/>
  <c r="AT10" i="22"/>
  <c r="AK10" i="22"/>
  <c r="AB10" i="22"/>
  <c r="AT8" i="22"/>
  <c r="AT7" i="22"/>
  <c r="AT6" i="22"/>
  <c r="AT5" i="22"/>
  <c r="AG5" i="22"/>
  <c r="U5" i="22"/>
  <c r="I6" i="22" s="1"/>
  <c r="J7" i="22" s="1"/>
  <c r="U7" i="22" s="1"/>
  <c r="AT4" i="22"/>
  <c r="AG4" i="22"/>
  <c r="U4" i="22"/>
  <c r="AT3" i="22"/>
  <c r="AG3" i="22"/>
  <c r="U3" i="22"/>
  <c r="AT2" i="22"/>
  <c r="AG2" i="22"/>
  <c r="U2" i="22"/>
  <c r="AP57" i="21"/>
  <c r="AP56" i="21"/>
  <c r="AP55" i="21"/>
  <c r="AP54" i="21"/>
  <c r="AP53" i="21"/>
  <c r="AP52" i="21"/>
  <c r="AP51" i="21"/>
  <c r="AP50" i="21"/>
  <c r="AG50" i="21"/>
  <c r="Y50" i="21"/>
  <c r="AP49" i="21"/>
  <c r="AP48" i="21"/>
  <c r="AP47" i="21"/>
  <c r="AP46" i="21"/>
  <c r="AP45" i="21"/>
  <c r="AP44" i="21"/>
  <c r="AP43" i="21"/>
  <c r="AF42" i="21"/>
  <c r="AG42" i="21" s="1"/>
  <c r="AH42" i="21" s="1"/>
  <c r="AI42" i="21" s="1"/>
  <c r="AK42" i="21" s="1"/>
  <c r="AL42" i="21" s="1"/>
  <c r="AM42" i="21" s="1"/>
  <c r="Y42" i="21"/>
  <c r="Z42" i="21" s="1"/>
  <c r="AA42" i="21" s="1"/>
  <c r="AC42" i="21" s="1"/>
  <c r="AD42" i="21" s="1"/>
  <c r="X42" i="21"/>
  <c r="V42" i="21"/>
  <c r="U42" i="21"/>
  <c r="AD35" i="21"/>
  <c r="V35" i="21"/>
  <c r="AD34" i="21"/>
  <c r="V34" i="21"/>
  <c r="AD32" i="21"/>
  <c r="V32" i="21"/>
  <c r="AD31" i="21"/>
  <c r="V31" i="21"/>
  <c r="AD30" i="21"/>
  <c r="V30" i="21"/>
  <c r="AD29" i="21"/>
  <c r="V29" i="21"/>
  <c r="S27" i="21"/>
  <c r="S26" i="21"/>
  <c r="AG18" i="21"/>
  <c r="AP15" i="21"/>
  <c r="AP14" i="21"/>
  <c r="AP13" i="21"/>
  <c r="AP12" i="21"/>
  <c r="AP11" i="21"/>
  <c r="AP10" i="21"/>
  <c r="AP9" i="21"/>
  <c r="AG9" i="21"/>
  <c r="Y9" i="21"/>
  <c r="AP8" i="21"/>
  <c r="AP7" i="21"/>
  <c r="J7" i="21"/>
  <c r="K8" i="21" s="1"/>
  <c r="S8" i="21" s="1"/>
  <c r="AP6" i="21"/>
  <c r="I6" i="21"/>
  <c r="AP5" i="21"/>
  <c r="AD5" i="21"/>
  <c r="S5" i="21"/>
  <c r="AP4" i="21"/>
  <c r="AD4" i="21"/>
  <c r="S4" i="21"/>
  <c r="AP3" i="21"/>
  <c r="AD3" i="21"/>
  <c r="S3" i="21"/>
  <c r="AP2" i="21"/>
  <c r="AD2" i="21"/>
  <c r="S2" i="21"/>
  <c r="AP57" i="20"/>
  <c r="AP56" i="20"/>
  <c r="AP55" i="20"/>
  <c r="AP54" i="20"/>
  <c r="AP53" i="20"/>
  <c r="AP52" i="20"/>
  <c r="AP51" i="20"/>
  <c r="AP50" i="20"/>
  <c r="AG50" i="20"/>
  <c r="Y50" i="20"/>
  <c r="AP49" i="20"/>
  <c r="AP48" i="20"/>
  <c r="AP47" i="20"/>
  <c r="AP46" i="20"/>
  <c r="AP45" i="20"/>
  <c r="AP44" i="20"/>
  <c r="AP43" i="20"/>
  <c r="AG42" i="20"/>
  <c r="AH42" i="20" s="1"/>
  <c r="AI42" i="20" s="1"/>
  <c r="AK42" i="20" s="1"/>
  <c r="AL42" i="20" s="1"/>
  <c r="AM42" i="20" s="1"/>
  <c r="AF42" i="20"/>
  <c r="X42" i="20"/>
  <c r="Y42" i="20" s="1"/>
  <c r="Z42" i="20" s="1"/>
  <c r="AA42" i="20" s="1"/>
  <c r="AC42" i="20" s="1"/>
  <c r="AD42" i="20" s="1"/>
  <c r="V42" i="20"/>
  <c r="U42" i="20"/>
  <c r="AD35" i="20"/>
  <c r="V35" i="20"/>
  <c r="AD34" i="20"/>
  <c r="V34" i="20"/>
  <c r="AD32" i="20"/>
  <c r="V32" i="20"/>
  <c r="AD31" i="20"/>
  <c r="V31" i="20"/>
  <c r="AD30" i="20"/>
  <c r="V30" i="20"/>
  <c r="AD29" i="20"/>
  <c r="V29" i="20"/>
  <c r="S27" i="20"/>
  <c r="S26" i="20"/>
  <c r="AG18" i="20"/>
  <c r="AP15" i="20"/>
  <c r="AP14" i="20"/>
  <c r="AP13" i="20"/>
  <c r="AP12" i="20"/>
  <c r="AP11" i="20"/>
  <c r="AP10" i="20"/>
  <c r="AP9" i="20"/>
  <c r="AG9" i="20"/>
  <c r="Y9" i="20"/>
  <c r="AP8" i="20"/>
  <c r="AP7" i="20"/>
  <c r="AP6" i="20"/>
  <c r="AP5" i="20"/>
  <c r="AD5" i="20"/>
  <c r="S5" i="20"/>
  <c r="I6" i="20" s="1"/>
  <c r="J7" i="20" s="1"/>
  <c r="AP4" i="20"/>
  <c r="AD4" i="20"/>
  <c r="S4" i="20"/>
  <c r="AP3" i="20"/>
  <c r="AD3" i="20"/>
  <c r="S3" i="20"/>
  <c r="AP2" i="20"/>
  <c r="AD2" i="20"/>
  <c r="S2" i="20"/>
  <c r="AP57" i="19"/>
  <c r="AP56" i="19"/>
  <c r="AP55" i="19"/>
  <c r="AP54" i="19"/>
  <c r="AP53" i="19"/>
  <c r="AP52" i="19"/>
  <c r="AP51" i="19"/>
  <c r="AP50" i="19"/>
  <c r="AG50" i="19"/>
  <c r="Y50" i="19"/>
  <c r="AP49" i="19"/>
  <c r="AP48" i="19"/>
  <c r="AP47" i="19"/>
  <c r="AP46" i="19"/>
  <c r="AP45" i="19"/>
  <c r="AP44" i="19"/>
  <c r="AP43" i="19"/>
  <c r="AD43" i="19"/>
  <c r="AG42" i="19"/>
  <c r="AH42" i="19" s="1"/>
  <c r="AI42" i="19" s="1"/>
  <c r="AK42" i="19" s="1"/>
  <c r="AL42" i="19" s="1"/>
  <c r="AM42" i="19" s="1"/>
  <c r="AF42" i="19"/>
  <c r="Z42" i="19"/>
  <c r="AA42" i="19" s="1"/>
  <c r="AC42" i="19" s="1"/>
  <c r="AD42" i="19" s="1"/>
  <c r="Y42" i="19"/>
  <c r="X42" i="19"/>
  <c r="U42" i="19"/>
  <c r="V42" i="19" s="1"/>
  <c r="AD35" i="19"/>
  <c r="V35" i="19"/>
  <c r="AD34" i="19"/>
  <c r="V34" i="19"/>
  <c r="AD32" i="19"/>
  <c r="V32" i="19"/>
  <c r="AD31" i="19"/>
  <c r="V31" i="19"/>
  <c r="AD30" i="19"/>
  <c r="V30" i="19"/>
  <c r="AD29" i="19"/>
  <c r="V29" i="19"/>
  <c r="S27" i="19"/>
  <c r="S26" i="19"/>
  <c r="AG18" i="19"/>
  <c r="AP15" i="19"/>
  <c r="AP14" i="19"/>
  <c r="AP13" i="19"/>
  <c r="AP12" i="19"/>
  <c r="AP11" i="19"/>
  <c r="AP10" i="19"/>
  <c r="AP9" i="19"/>
  <c r="AG9" i="19"/>
  <c r="Y9" i="19"/>
  <c r="AP8" i="19"/>
  <c r="K8" i="19"/>
  <c r="S8" i="19" s="1"/>
  <c r="AP7" i="19"/>
  <c r="S7" i="19"/>
  <c r="J7" i="19"/>
  <c r="AP6" i="19"/>
  <c r="I6" i="19"/>
  <c r="AP5" i="19"/>
  <c r="AD5" i="19"/>
  <c r="S5" i="19"/>
  <c r="AP4" i="19"/>
  <c r="AD4" i="19"/>
  <c r="S4" i="19"/>
  <c r="AP3" i="19"/>
  <c r="AD3" i="19"/>
  <c r="S3" i="19"/>
  <c r="AP2" i="19"/>
  <c r="AD2" i="19"/>
  <c r="S2" i="19"/>
  <c r="AP57" i="18"/>
  <c r="AP56" i="18"/>
  <c r="AP55" i="18"/>
  <c r="AP54" i="18"/>
  <c r="AP53" i="18"/>
  <c r="AP52" i="18"/>
  <c r="AP51" i="18"/>
  <c r="AP50" i="18"/>
  <c r="AG50" i="18"/>
  <c r="Y50" i="18"/>
  <c r="AP49" i="18"/>
  <c r="AP48" i="18"/>
  <c r="AP47" i="18"/>
  <c r="AP46" i="18"/>
  <c r="AP45" i="18"/>
  <c r="AP44" i="18"/>
  <c r="AP43" i="18"/>
  <c r="AF42" i="18"/>
  <c r="AG42" i="18" s="1"/>
  <c r="AH42" i="18" s="1"/>
  <c r="AI42" i="18" s="1"/>
  <c r="AK42" i="18" s="1"/>
  <c r="AL42" i="18" s="1"/>
  <c r="AM42" i="18" s="1"/>
  <c r="Y42" i="18"/>
  <c r="Z42" i="18" s="1"/>
  <c r="AA42" i="18" s="1"/>
  <c r="AC42" i="18" s="1"/>
  <c r="AD42" i="18" s="1"/>
  <c r="X42" i="18"/>
  <c r="V42" i="18"/>
  <c r="U42" i="18"/>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J7" i="18"/>
  <c r="K8" i="18" s="1"/>
  <c r="S8" i="18" s="1"/>
  <c r="AP6" i="18"/>
  <c r="I6" i="18"/>
  <c r="S6" i="18" s="1"/>
  <c r="AP5" i="18"/>
  <c r="AD5" i="18"/>
  <c r="S5" i="18"/>
  <c r="AP4" i="18"/>
  <c r="AD4" i="18"/>
  <c r="S4" i="18"/>
  <c r="AP3" i="18"/>
  <c r="AD3" i="18"/>
  <c r="S3" i="18"/>
  <c r="AP2" i="18"/>
  <c r="AD2" i="18"/>
  <c r="S2" i="18"/>
  <c r="AP57" i="17"/>
  <c r="AP56" i="17"/>
  <c r="AP55" i="17"/>
  <c r="AP54" i="17"/>
  <c r="AP53" i="17"/>
  <c r="AP52" i="17"/>
  <c r="AP51" i="17"/>
  <c r="AP50" i="17"/>
  <c r="AG50" i="17"/>
  <c r="Y50" i="17"/>
  <c r="AP49" i="17"/>
  <c r="AP48" i="17"/>
  <c r="AP47" i="17"/>
  <c r="AP46" i="17"/>
  <c r="S46" i="17"/>
  <c r="I47" i="17" s="1"/>
  <c r="AP45" i="17"/>
  <c r="AP44" i="17"/>
  <c r="AD44" i="17"/>
  <c r="AP43" i="17"/>
  <c r="AG42" i="17"/>
  <c r="AH42" i="17" s="1"/>
  <c r="AI42" i="17" s="1"/>
  <c r="AK42" i="17" s="1"/>
  <c r="AL42" i="17" s="1"/>
  <c r="AM42" i="17" s="1"/>
  <c r="AF42" i="17"/>
  <c r="Y42" i="17"/>
  <c r="Z42" i="17" s="1"/>
  <c r="AA42" i="17" s="1"/>
  <c r="AC42" i="17" s="1"/>
  <c r="AD42" i="17" s="1"/>
  <c r="X42" i="17"/>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AP5" i="17"/>
  <c r="AD5" i="17"/>
  <c r="S5" i="17"/>
  <c r="I6" i="17" s="1"/>
  <c r="AP4" i="17"/>
  <c r="AD4" i="17"/>
  <c r="S4" i="17"/>
  <c r="AP3" i="17"/>
  <c r="AD3" i="17"/>
  <c r="S3" i="17"/>
  <c r="AP2" i="17"/>
  <c r="AD2" i="17"/>
  <c r="S2" i="17"/>
  <c r="AP57" i="16"/>
  <c r="AP56" i="16"/>
  <c r="AP55" i="16"/>
  <c r="AP54" i="16"/>
  <c r="AP53" i="16"/>
  <c r="AP52" i="16"/>
  <c r="AP51" i="16"/>
  <c r="AP50" i="16"/>
  <c r="AG50" i="16"/>
  <c r="Y50" i="16"/>
  <c r="AP49" i="16"/>
  <c r="AP48" i="16"/>
  <c r="AP47" i="16"/>
  <c r="AP46" i="16"/>
  <c r="AP45" i="16"/>
  <c r="S45" i="16"/>
  <c r="AP44" i="16"/>
  <c r="AP43" i="16"/>
  <c r="AM43" i="16"/>
  <c r="AG42" i="16"/>
  <c r="AH42" i="16" s="1"/>
  <c r="AI42" i="16" s="1"/>
  <c r="AK42" i="16" s="1"/>
  <c r="AL42" i="16" s="1"/>
  <c r="AM42" i="16" s="1"/>
  <c r="AF42" i="16"/>
  <c r="AA42" i="16"/>
  <c r="AC42" i="16" s="1"/>
  <c r="AD42" i="16" s="1"/>
  <c r="Z42" i="16"/>
  <c r="Y42" i="16"/>
  <c r="X42" i="16"/>
  <c r="V42" i="16"/>
  <c r="U42" i="16"/>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AP5" i="16"/>
  <c r="AD5" i="16"/>
  <c r="S5" i="16"/>
  <c r="I6" i="16" s="1"/>
  <c r="AP4" i="16"/>
  <c r="AD4" i="16"/>
  <c r="S4" i="16"/>
  <c r="AP3" i="16"/>
  <c r="AD3" i="16"/>
  <c r="S3" i="16"/>
  <c r="AP2" i="16"/>
  <c r="AD2" i="16"/>
  <c r="S2" i="16"/>
  <c r="G17" i="15"/>
  <c r="G14" i="15"/>
  <c r="E13" i="15"/>
  <c r="E12" i="15"/>
  <c r="D6" i="15"/>
  <c r="V190" i="14"/>
  <c r="N175" i="14"/>
  <c r="N170" i="14"/>
  <c r="N164" i="14"/>
  <c r="N153" i="14"/>
  <c r="N148" i="14"/>
  <c r="N142" i="14"/>
  <c r="R127" i="14"/>
  <c r="Q127" i="14"/>
  <c r="Q118" i="14"/>
  <c r="H117" i="14"/>
  <c r="H116" i="14"/>
  <c r="H115" i="14"/>
  <c r="Q109" i="14"/>
  <c r="Q106" i="14"/>
  <c r="H105" i="14"/>
  <c r="H104" i="14"/>
  <c r="H103" i="14"/>
  <c r="F97" i="14"/>
  <c r="AD91" i="14"/>
  <c r="AD85" i="14"/>
  <c r="AD80" i="14"/>
  <c r="AD72" i="14"/>
  <c r="F69" i="14"/>
  <c r="P60" i="14"/>
  <c r="I25" i="14"/>
  <c r="I19" i="14"/>
  <c r="O14" i="14"/>
  <c r="M14" i="14" a="1"/>
  <c r="M14" i="14"/>
  <c r="F14" i="14"/>
  <c r="E14" i="14"/>
  <c r="G13" i="14"/>
  <c r="E13" i="14"/>
  <c r="I53" i="13"/>
  <c r="H53" i="13"/>
  <c r="G53" i="13"/>
  <c r="J52" i="13"/>
  <c r="I52" i="13"/>
  <c r="H52" i="13"/>
  <c r="G52" i="13"/>
  <c r="I51" i="13"/>
  <c r="H51" i="13"/>
  <c r="G51" i="13"/>
  <c r="I50" i="13"/>
  <c r="H50" i="13"/>
  <c r="G50" i="13"/>
  <c r="J49" i="13"/>
  <c r="I49" i="13"/>
  <c r="H49" i="13"/>
  <c r="G49" i="13"/>
  <c r="I48" i="13"/>
  <c r="H48" i="13"/>
  <c r="G48" i="13"/>
  <c r="E29" i="13" s="1"/>
  <c r="J47" i="13"/>
  <c r="I47" i="13"/>
  <c r="H47" i="13"/>
  <c r="G47" i="13"/>
  <c r="J46" i="13"/>
  <c r="I46" i="13"/>
  <c r="K45" i="13"/>
  <c r="J45" i="13"/>
  <c r="I45" i="13"/>
  <c r="G36" i="13"/>
  <c r="F36" i="13"/>
  <c r="F32" i="13"/>
  <c r="E32" i="13"/>
  <c r="F29" i="13"/>
  <c r="U148" i="12"/>
  <c r="M148" i="12"/>
  <c r="K101" i="12"/>
  <c r="N101" i="12" s="1"/>
  <c r="J150" i="40" s="1"/>
  <c r="J101" i="12"/>
  <c r="M101" i="12" s="1"/>
  <c r="F150" i="40" s="1"/>
  <c r="I101" i="12"/>
  <c r="L101" i="12" s="1"/>
  <c r="E150" i="40" s="1"/>
  <c r="N100" i="12"/>
  <c r="J149" i="40" s="1"/>
  <c r="M100" i="12"/>
  <c r="F149" i="40" s="1"/>
  <c r="K100" i="12"/>
  <c r="J100" i="12"/>
  <c r="I100" i="12"/>
  <c r="L100" i="12" s="1"/>
  <c r="E149" i="40" s="1"/>
  <c r="K99" i="12"/>
  <c r="N99" i="12" s="1"/>
  <c r="J148" i="40" s="1"/>
  <c r="J99" i="12"/>
  <c r="M99" i="12" s="1"/>
  <c r="F148" i="40" s="1"/>
  <c r="I99" i="12"/>
  <c r="L99" i="12" s="1"/>
  <c r="E148" i="40" s="1"/>
  <c r="N98" i="12"/>
  <c r="J147" i="40" s="1"/>
  <c r="M98" i="12"/>
  <c r="F147" i="40" s="1"/>
  <c r="K98" i="12"/>
  <c r="J98" i="12"/>
  <c r="I98" i="12"/>
  <c r="L98" i="12" s="1"/>
  <c r="E147" i="40" s="1"/>
  <c r="K97" i="12"/>
  <c r="N97" i="12" s="1"/>
  <c r="J146" i="40" s="1"/>
  <c r="J97" i="12"/>
  <c r="M97" i="12" s="1"/>
  <c r="F146" i="40" s="1"/>
  <c r="I97" i="12"/>
  <c r="L97" i="12" s="1"/>
  <c r="E146" i="40" s="1"/>
  <c r="N96" i="12"/>
  <c r="J141" i="40" s="1"/>
  <c r="M96" i="12"/>
  <c r="F141" i="40" s="1"/>
  <c r="K96" i="12"/>
  <c r="J96" i="12"/>
  <c r="I96" i="12"/>
  <c r="L96" i="12" s="1"/>
  <c r="E141" i="40" s="1"/>
  <c r="K95" i="12"/>
  <c r="N95" i="12" s="1"/>
  <c r="J136" i="40" s="1"/>
  <c r="J95" i="12"/>
  <c r="M95" i="12" s="1"/>
  <c r="F136" i="40" s="1"/>
  <c r="I95" i="12"/>
  <c r="L95" i="12" s="1"/>
  <c r="E136" i="40" s="1"/>
  <c r="N94" i="12"/>
  <c r="J133" i="40" s="1"/>
  <c r="M94" i="12"/>
  <c r="F133" i="40" s="1"/>
  <c r="K94" i="12"/>
  <c r="J94" i="12"/>
  <c r="I94" i="12"/>
  <c r="L94" i="12" s="1"/>
  <c r="E133" i="40" s="1"/>
  <c r="E134" i="40" s="1"/>
  <c r="K93" i="12"/>
  <c r="N93" i="12" s="1"/>
  <c r="J132" i="40" s="1"/>
  <c r="J93" i="12"/>
  <c r="M93" i="12" s="1"/>
  <c r="F132" i="40" s="1"/>
  <c r="I93" i="12"/>
  <c r="L93" i="12" s="1"/>
  <c r="E132" i="40" s="1"/>
  <c r="N92" i="12"/>
  <c r="J131" i="40" s="1"/>
  <c r="M92" i="12"/>
  <c r="F131" i="40" s="1"/>
  <c r="K92" i="12"/>
  <c r="J92" i="12"/>
  <c r="I92" i="12"/>
  <c r="L92" i="12" s="1"/>
  <c r="E131" i="40" s="1"/>
  <c r="K91" i="12"/>
  <c r="N91" i="12" s="1"/>
  <c r="J130" i="40" s="1"/>
  <c r="J91" i="12"/>
  <c r="M91" i="12" s="1"/>
  <c r="F130" i="40" s="1"/>
  <c r="I91" i="12"/>
  <c r="L91" i="12" s="1"/>
  <c r="E130" i="40" s="1"/>
  <c r="N90" i="12"/>
  <c r="J129" i="40" s="1"/>
  <c r="M90" i="12"/>
  <c r="F129" i="40" s="1"/>
  <c r="K90" i="12"/>
  <c r="J90" i="12"/>
  <c r="I90" i="12"/>
  <c r="L90" i="12" s="1"/>
  <c r="E129" i="40" s="1"/>
  <c r="K89" i="12"/>
  <c r="N89" i="12" s="1"/>
  <c r="J128" i="40" s="1"/>
  <c r="J89" i="12"/>
  <c r="M89" i="12" s="1"/>
  <c r="F128" i="40" s="1"/>
  <c r="I89" i="12"/>
  <c r="L89" i="12" s="1"/>
  <c r="E128" i="40" s="1"/>
  <c r="N88" i="12"/>
  <c r="J127" i="40" s="1"/>
  <c r="M88" i="12"/>
  <c r="F127" i="40" s="1"/>
  <c r="K88" i="12"/>
  <c r="J88" i="12"/>
  <c r="I88" i="12"/>
  <c r="L88" i="12" s="1"/>
  <c r="E127" i="40" s="1"/>
  <c r="K87" i="12"/>
  <c r="N87" i="12" s="1"/>
  <c r="J126" i="40" s="1"/>
  <c r="J87" i="12"/>
  <c r="M87" i="12" s="1"/>
  <c r="F126" i="40" s="1"/>
  <c r="I87" i="12"/>
  <c r="L87" i="12" s="1"/>
  <c r="E126" i="40" s="1"/>
  <c r="N86" i="12"/>
  <c r="J125" i="40" s="1"/>
  <c r="M86" i="12"/>
  <c r="F125" i="40" s="1"/>
  <c r="K86" i="12"/>
  <c r="J86" i="12"/>
  <c r="I86" i="12"/>
  <c r="L86" i="12" s="1"/>
  <c r="E125" i="40" s="1"/>
  <c r="K85" i="12"/>
  <c r="N85" i="12" s="1"/>
  <c r="J124" i="40" s="1"/>
  <c r="J85" i="12"/>
  <c r="M85" i="12" s="1"/>
  <c r="F124" i="40" s="1"/>
  <c r="I85" i="12"/>
  <c r="L85" i="12" s="1"/>
  <c r="E124" i="40" s="1"/>
  <c r="N84" i="12"/>
  <c r="J123" i="40" s="1"/>
  <c r="M84" i="12"/>
  <c r="F123" i="40" s="1"/>
  <c r="K84" i="12"/>
  <c r="J84" i="12"/>
  <c r="I84" i="12"/>
  <c r="L84" i="12" s="1"/>
  <c r="E123" i="40" s="1"/>
  <c r="K83" i="12"/>
  <c r="N83" i="12" s="1"/>
  <c r="J122" i="40" s="1"/>
  <c r="J83" i="12"/>
  <c r="M83" i="12" s="1"/>
  <c r="F122" i="40" s="1"/>
  <c r="I83" i="12"/>
  <c r="L83" i="12" s="1"/>
  <c r="E122" i="40" s="1"/>
  <c r="N82" i="12"/>
  <c r="J121" i="40" s="1"/>
  <c r="M82" i="12"/>
  <c r="F121" i="40" s="1"/>
  <c r="K82" i="12"/>
  <c r="J82" i="12"/>
  <c r="I82" i="12"/>
  <c r="L82" i="12" s="1"/>
  <c r="E121" i="40" s="1"/>
  <c r="K81" i="12"/>
  <c r="N81" i="12" s="1"/>
  <c r="J120" i="40" s="1"/>
  <c r="J81" i="12"/>
  <c r="M81" i="12" s="1"/>
  <c r="F120" i="40" s="1"/>
  <c r="I81" i="12"/>
  <c r="L81" i="12" s="1"/>
  <c r="E120" i="40" s="1"/>
  <c r="N80" i="12"/>
  <c r="J119" i="40" s="1"/>
  <c r="M80" i="12"/>
  <c r="F119" i="40" s="1"/>
  <c r="K80" i="12"/>
  <c r="J80" i="12"/>
  <c r="I80" i="12"/>
  <c r="L80" i="12" s="1"/>
  <c r="E119" i="40" s="1"/>
  <c r="K79" i="12"/>
  <c r="N79" i="12" s="1"/>
  <c r="J118" i="40" s="1"/>
  <c r="J79" i="12"/>
  <c r="M79" i="12" s="1"/>
  <c r="F118" i="40" s="1"/>
  <c r="I79" i="12"/>
  <c r="L79" i="12" s="1"/>
  <c r="E118" i="40" s="1"/>
  <c r="N78" i="12"/>
  <c r="J113" i="40" s="1"/>
  <c r="M78" i="12"/>
  <c r="F113" i="40" s="1"/>
  <c r="K78" i="12"/>
  <c r="J78" i="12"/>
  <c r="I78" i="12"/>
  <c r="L78" i="12" s="1"/>
  <c r="E113" i="40" s="1"/>
  <c r="K77" i="12"/>
  <c r="N77" i="12" s="1"/>
  <c r="J112" i="40" s="1"/>
  <c r="J77" i="12"/>
  <c r="M77" i="12" s="1"/>
  <c r="F112" i="40" s="1"/>
  <c r="I77" i="12"/>
  <c r="L77" i="12" s="1"/>
  <c r="E112" i="40" s="1"/>
  <c r="N76" i="12"/>
  <c r="J111" i="40" s="1"/>
  <c r="M76" i="12"/>
  <c r="F111" i="40" s="1"/>
  <c r="K76" i="12"/>
  <c r="J76" i="12"/>
  <c r="I76" i="12"/>
  <c r="L76" i="12" s="1"/>
  <c r="E111" i="40" s="1"/>
  <c r="K75" i="12"/>
  <c r="N75" i="12" s="1"/>
  <c r="J110" i="40" s="1"/>
  <c r="J75" i="12"/>
  <c r="M75" i="12" s="1"/>
  <c r="F110" i="40" s="1"/>
  <c r="I75" i="12"/>
  <c r="L75" i="12" s="1"/>
  <c r="E110" i="40" s="1"/>
  <c r="N74" i="12"/>
  <c r="J109" i="40" s="1"/>
  <c r="M74" i="12"/>
  <c r="F109" i="40" s="1"/>
  <c r="K74" i="12"/>
  <c r="J74" i="12"/>
  <c r="I74" i="12"/>
  <c r="L74" i="12" s="1"/>
  <c r="E109" i="40" s="1"/>
  <c r="K73" i="12"/>
  <c r="N73" i="12" s="1"/>
  <c r="J108" i="40" s="1"/>
  <c r="J73" i="12"/>
  <c r="M73" i="12" s="1"/>
  <c r="F108" i="40" s="1"/>
  <c r="I73" i="12"/>
  <c r="L73" i="12" s="1"/>
  <c r="E108" i="40" s="1"/>
  <c r="N72" i="12"/>
  <c r="J107" i="40" s="1"/>
  <c r="M72" i="12"/>
  <c r="F107" i="40" s="1"/>
  <c r="K72" i="12"/>
  <c r="J72" i="12"/>
  <c r="I72" i="12"/>
  <c r="L72" i="12" s="1"/>
  <c r="E107" i="40" s="1"/>
  <c r="K71" i="12"/>
  <c r="N71" i="12" s="1"/>
  <c r="J106" i="40" s="1"/>
  <c r="J71" i="12"/>
  <c r="M71" i="12" s="1"/>
  <c r="F106" i="40" s="1"/>
  <c r="I71" i="12"/>
  <c r="L71" i="12" s="1"/>
  <c r="E106" i="40" s="1"/>
  <c r="N70" i="12"/>
  <c r="J105" i="40" s="1"/>
  <c r="M70" i="12"/>
  <c r="F105" i="40" s="1"/>
  <c r="K70" i="12"/>
  <c r="J70" i="12"/>
  <c r="I70" i="12"/>
  <c r="L70" i="12" s="1"/>
  <c r="E105" i="40" s="1"/>
  <c r="K69" i="12"/>
  <c r="N69" i="12" s="1"/>
  <c r="J104" i="40" s="1"/>
  <c r="J69" i="12"/>
  <c r="M69" i="12" s="1"/>
  <c r="F104" i="40" s="1"/>
  <c r="I69" i="12"/>
  <c r="L69" i="12" s="1"/>
  <c r="E104" i="40" s="1"/>
  <c r="N68" i="12"/>
  <c r="J103" i="40" s="1"/>
  <c r="M68" i="12"/>
  <c r="F103" i="40" s="1"/>
  <c r="K68" i="12"/>
  <c r="J68" i="12"/>
  <c r="I68" i="12"/>
  <c r="L68" i="12" s="1"/>
  <c r="E103" i="40" s="1"/>
  <c r="K67" i="12"/>
  <c r="N67" i="12" s="1"/>
  <c r="J102" i="40" s="1"/>
  <c r="J67" i="12"/>
  <c r="M67" i="12" s="1"/>
  <c r="F102" i="40" s="1"/>
  <c r="I67" i="12"/>
  <c r="L67" i="12" s="1"/>
  <c r="E102" i="40" s="1"/>
  <c r="N66" i="12"/>
  <c r="J101" i="40" s="1"/>
  <c r="M66" i="12"/>
  <c r="F101" i="40" s="1"/>
  <c r="K66" i="12"/>
  <c r="J66" i="12"/>
  <c r="I66" i="12"/>
  <c r="L66" i="12" s="1"/>
  <c r="E101" i="40" s="1"/>
  <c r="K65" i="12"/>
  <c r="N65" i="12" s="1"/>
  <c r="J100" i="40" s="1"/>
  <c r="J65" i="12"/>
  <c r="M65" i="12" s="1"/>
  <c r="F100" i="40" s="1"/>
  <c r="I65" i="12"/>
  <c r="L65" i="12" s="1"/>
  <c r="E100" i="40" s="1"/>
  <c r="N64" i="12"/>
  <c r="J99" i="40" s="1"/>
  <c r="M64" i="12"/>
  <c r="F99" i="40" s="1"/>
  <c r="K64" i="12"/>
  <c r="J64" i="12"/>
  <c r="I64" i="12"/>
  <c r="L64" i="12" s="1"/>
  <c r="E99" i="40" s="1"/>
  <c r="K63" i="12"/>
  <c r="N63" i="12" s="1"/>
  <c r="J98" i="40" s="1"/>
  <c r="J63" i="12"/>
  <c r="M63" i="12" s="1"/>
  <c r="F98" i="40" s="1"/>
  <c r="I63" i="12"/>
  <c r="L63" i="12" s="1"/>
  <c r="E98" i="40" s="1"/>
  <c r="N62" i="12"/>
  <c r="J97" i="40" s="1"/>
  <c r="M62" i="12"/>
  <c r="F97" i="40" s="1"/>
  <c r="K62" i="12"/>
  <c r="J62" i="12"/>
  <c r="I62" i="12"/>
  <c r="L62" i="12" s="1"/>
  <c r="E97" i="40" s="1"/>
  <c r="K61" i="12"/>
  <c r="N61" i="12" s="1"/>
  <c r="J96" i="40" s="1"/>
  <c r="J61" i="12"/>
  <c r="M61" i="12" s="1"/>
  <c r="F96" i="40" s="1"/>
  <c r="I61" i="12"/>
  <c r="L61" i="12" s="1"/>
  <c r="E96" i="40" s="1"/>
  <c r="N60" i="12"/>
  <c r="J95" i="40" s="1"/>
  <c r="M60" i="12"/>
  <c r="F95" i="40" s="1"/>
  <c r="K60" i="12"/>
  <c r="J60" i="12"/>
  <c r="I60" i="12"/>
  <c r="L60" i="12" s="1"/>
  <c r="E95" i="40" s="1"/>
  <c r="K59" i="12"/>
  <c r="N59" i="12" s="1"/>
  <c r="J94" i="40" s="1"/>
  <c r="J59" i="12"/>
  <c r="M59" i="12" s="1"/>
  <c r="F94" i="40" s="1"/>
  <c r="I59" i="12"/>
  <c r="L59" i="12" s="1"/>
  <c r="E94" i="40" s="1"/>
  <c r="N58" i="12"/>
  <c r="J93" i="40" s="1"/>
  <c r="M58" i="12"/>
  <c r="F93" i="40" s="1"/>
  <c r="K58" i="12"/>
  <c r="J58" i="12"/>
  <c r="I58" i="12"/>
  <c r="L58" i="12" s="1"/>
  <c r="E93" i="40" s="1"/>
  <c r="K57" i="12"/>
  <c r="N57" i="12" s="1"/>
  <c r="J92" i="40" s="1"/>
  <c r="J57" i="12"/>
  <c r="M57" i="12" s="1"/>
  <c r="F92" i="40" s="1"/>
  <c r="I57" i="12"/>
  <c r="L57" i="12" s="1"/>
  <c r="E92" i="40" s="1"/>
  <c r="N56" i="12"/>
  <c r="J91" i="40" s="1"/>
  <c r="M56" i="12"/>
  <c r="F91" i="40" s="1"/>
  <c r="K56" i="12"/>
  <c r="J56" i="12"/>
  <c r="I56" i="12"/>
  <c r="L56" i="12" s="1"/>
  <c r="E91" i="40" s="1"/>
  <c r="K55" i="12"/>
  <c r="N55" i="12" s="1"/>
  <c r="J90" i="40" s="1"/>
  <c r="J55" i="12"/>
  <c r="M55" i="12" s="1"/>
  <c r="F90" i="40" s="1"/>
  <c r="I55" i="12"/>
  <c r="L55" i="12" s="1"/>
  <c r="E90" i="40" s="1"/>
  <c r="N54" i="12"/>
  <c r="J89" i="40" s="1"/>
  <c r="M54" i="12"/>
  <c r="F89" i="40" s="1"/>
  <c r="K54" i="12"/>
  <c r="J54" i="12"/>
  <c r="I54" i="12"/>
  <c r="L54" i="12" s="1"/>
  <c r="E89" i="40" s="1"/>
  <c r="K53" i="12"/>
  <c r="N53" i="12" s="1"/>
  <c r="J88" i="40" s="1"/>
  <c r="J53" i="12"/>
  <c r="M53" i="12" s="1"/>
  <c r="F88" i="40" s="1"/>
  <c r="I53" i="12"/>
  <c r="L53" i="12" s="1"/>
  <c r="E88" i="40" s="1"/>
  <c r="N52" i="12"/>
  <c r="J87" i="40" s="1"/>
  <c r="M52" i="12"/>
  <c r="F87" i="40" s="1"/>
  <c r="K52" i="12"/>
  <c r="J52" i="12"/>
  <c r="I52" i="12"/>
  <c r="L52" i="12" s="1"/>
  <c r="E87" i="40" s="1"/>
  <c r="K51" i="12"/>
  <c r="N51" i="12" s="1"/>
  <c r="J86" i="40" s="1"/>
  <c r="J51" i="12"/>
  <c r="M51" i="12" s="1"/>
  <c r="F86" i="40" s="1"/>
  <c r="I51" i="12"/>
  <c r="L51" i="12" s="1"/>
  <c r="E86" i="40" s="1"/>
  <c r="N50" i="12"/>
  <c r="J81" i="40" s="1"/>
  <c r="M50" i="12"/>
  <c r="F81" i="40" s="1"/>
  <c r="K50" i="12"/>
  <c r="J50" i="12"/>
  <c r="I50" i="12"/>
  <c r="L50" i="12" s="1"/>
  <c r="E81" i="40" s="1"/>
  <c r="K49" i="12"/>
  <c r="N49" i="12" s="1"/>
  <c r="J80" i="40" s="1"/>
  <c r="L80" i="40" s="1"/>
  <c r="J49" i="12"/>
  <c r="M49" i="12" s="1"/>
  <c r="F80" i="40" s="1"/>
  <c r="I49" i="12"/>
  <c r="L49" i="12" s="1"/>
  <c r="E80" i="40" s="1"/>
  <c r="K80" i="40" s="1"/>
  <c r="N48" i="12"/>
  <c r="J79" i="40" s="1"/>
  <c r="M48" i="12"/>
  <c r="F79" i="40" s="1"/>
  <c r="K48" i="12"/>
  <c r="J48" i="12"/>
  <c r="I48" i="12"/>
  <c r="L48" i="12" s="1"/>
  <c r="E79" i="40" s="1"/>
  <c r="K79" i="40" s="1"/>
  <c r="K47" i="12"/>
  <c r="N47" i="12" s="1"/>
  <c r="J78" i="40" s="1"/>
  <c r="L78" i="40" s="1"/>
  <c r="J47" i="12"/>
  <c r="M47" i="12" s="1"/>
  <c r="F78" i="40" s="1"/>
  <c r="I47" i="12"/>
  <c r="L47" i="12" s="1"/>
  <c r="E78" i="40" s="1"/>
  <c r="K78" i="40" s="1"/>
  <c r="N46" i="12"/>
  <c r="J77" i="40" s="1"/>
  <c r="M46" i="12"/>
  <c r="F77" i="40" s="1"/>
  <c r="K46" i="12"/>
  <c r="J46" i="12"/>
  <c r="I46" i="12"/>
  <c r="L46" i="12" s="1"/>
  <c r="E77" i="40" s="1"/>
  <c r="K77" i="40" s="1"/>
  <c r="K45" i="12"/>
  <c r="N45" i="12" s="1"/>
  <c r="J76" i="40" s="1"/>
  <c r="J45" i="12"/>
  <c r="M45" i="12" s="1"/>
  <c r="F76" i="40" s="1"/>
  <c r="I45" i="12"/>
  <c r="L45" i="12" s="1"/>
  <c r="E76" i="40" s="1"/>
  <c r="K76" i="40" s="1"/>
  <c r="N44" i="12"/>
  <c r="J75" i="40" s="1"/>
  <c r="M44" i="12"/>
  <c r="F75" i="40" s="1"/>
  <c r="K44" i="12"/>
  <c r="J44" i="12"/>
  <c r="I44" i="12"/>
  <c r="L44" i="12" s="1"/>
  <c r="E75" i="40" s="1"/>
  <c r="K75" i="40" s="1"/>
  <c r="K43" i="12"/>
  <c r="N43" i="12" s="1"/>
  <c r="J74" i="40" s="1"/>
  <c r="J43" i="12"/>
  <c r="M43" i="12" s="1"/>
  <c r="F74" i="40" s="1"/>
  <c r="I43" i="12"/>
  <c r="L43" i="12" s="1"/>
  <c r="E74" i="40" s="1"/>
  <c r="K74" i="40" s="1"/>
  <c r="N42" i="12"/>
  <c r="J73" i="40" s="1"/>
  <c r="M42" i="12"/>
  <c r="F73" i="40" s="1"/>
  <c r="K42" i="12"/>
  <c r="J42" i="12"/>
  <c r="I42" i="12"/>
  <c r="L42" i="12" s="1"/>
  <c r="E73" i="40" s="1"/>
  <c r="K73" i="40" s="1"/>
  <c r="K41" i="12"/>
  <c r="N41" i="12" s="1"/>
  <c r="J72" i="40" s="1"/>
  <c r="J41" i="12"/>
  <c r="M41" i="12" s="1"/>
  <c r="F72" i="40" s="1"/>
  <c r="I41" i="12"/>
  <c r="L41" i="12" s="1"/>
  <c r="E72" i="40" s="1"/>
  <c r="K72" i="40" s="1"/>
  <c r="N40" i="12"/>
  <c r="J71" i="40" s="1"/>
  <c r="M40" i="12"/>
  <c r="F71" i="40" s="1"/>
  <c r="K40" i="12"/>
  <c r="J40" i="12"/>
  <c r="I40" i="12"/>
  <c r="L40" i="12" s="1"/>
  <c r="E71" i="40" s="1"/>
  <c r="K71" i="40" s="1"/>
  <c r="K39" i="12"/>
  <c r="N39" i="12" s="1"/>
  <c r="J70" i="40" s="1"/>
  <c r="J39" i="12"/>
  <c r="M39" i="12" s="1"/>
  <c r="F70" i="40" s="1"/>
  <c r="I39" i="12"/>
  <c r="L39" i="12" s="1"/>
  <c r="E70" i="40" s="1"/>
  <c r="K70" i="40" s="1"/>
  <c r="N38" i="12"/>
  <c r="J69" i="40" s="1"/>
  <c r="M38" i="12"/>
  <c r="F69" i="40" s="1"/>
  <c r="K38" i="12"/>
  <c r="J38" i="12"/>
  <c r="I38" i="12"/>
  <c r="L38" i="12" s="1"/>
  <c r="E69" i="40" s="1"/>
  <c r="K69" i="40" s="1"/>
  <c r="K37" i="12"/>
  <c r="N37" i="12" s="1"/>
  <c r="J68" i="40" s="1"/>
  <c r="J37" i="12"/>
  <c r="M37" i="12" s="1"/>
  <c r="F68" i="40" s="1"/>
  <c r="I37" i="12"/>
  <c r="L37" i="12" s="1"/>
  <c r="E68" i="40" s="1"/>
  <c r="K68" i="40" s="1"/>
  <c r="N36" i="12"/>
  <c r="J67" i="40" s="1"/>
  <c r="M36" i="12"/>
  <c r="F67" i="40" s="1"/>
  <c r="K36" i="12"/>
  <c r="J36" i="12"/>
  <c r="I36" i="12"/>
  <c r="L36" i="12" s="1"/>
  <c r="E67" i="40" s="1"/>
  <c r="K67" i="40" s="1"/>
  <c r="K35" i="12"/>
  <c r="N35" i="12" s="1"/>
  <c r="J66" i="40" s="1"/>
  <c r="J35" i="12"/>
  <c r="M35" i="12" s="1"/>
  <c r="F66" i="40" s="1"/>
  <c r="I35" i="12"/>
  <c r="L35" i="12" s="1"/>
  <c r="E66" i="40" s="1"/>
  <c r="K66" i="40" s="1"/>
  <c r="N34" i="12"/>
  <c r="J65" i="40" s="1"/>
  <c r="M34" i="12"/>
  <c r="F65" i="40" s="1"/>
  <c r="K34" i="12"/>
  <c r="J34" i="12"/>
  <c r="I34" i="12"/>
  <c r="L34" i="12" s="1"/>
  <c r="E65" i="40" s="1"/>
  <c r="K65" i="40" s="1"/>
  <c r="K33" i="12"/>
  <c r="N33" i="12" s="1"/>
  <c r="J64" i="40" s="1"/>
  <c r="J33" i="12"/>
  <c r="M33" i="12" s="1"/>
  <c r="F64" i="40" s="1"/>
  <c r="I33" i="12"/>
  <c r="L33" i="12" s="1"/>
  <c r="E64" i="40" s="1"/>
  <c r="K64" i="40" s="1"/>
  <c r="N32" i="12"/>
  <c r="J63" i="40" s="1"/>
  <c r="M32" i="12"/>
  <c r="F63" i="40" s="1"/>
  <c r="K32" i="12"/>
  <c r="J32" i="12"/>
  <c r="I32" i="12"/>
  <c r="L32" i="12" s="1"/>
  <c r="E63" i="40" s="1"/>
  <c r="K63" i="40" s="1"/>
  <c r="K31" i="12"/>
  <c r="N31" i="12" s="1"/>
  <c r="J62" i="40" s="1"/>
  <c r="J31" i="12"/>
  <c r="M31" i="12" s="1"/>
  <c r="F62" i="40" s="1"/>
  <c r="I31" i="12"/>
  <c r="L31" i="12" s="1"/>
  <c r="E62" i="40" s="1"/>
  <c r="K62" i="40" s="1"/>
  <c r="N30" i="12"/>
  <c r="J61" i="40" s="1"/>
  <c r="M30" i="12"/>
  <c r="F61" i="40" s="1"/>
  <c r="K30" i="12"/>
  <c r="J30" i="12"/>
  <c r="I30" i="12"/>
  <c r="L30" i="12" s="1"/>
  <c r="E61" i="40" s="1"/>
  <c r="K61" i="40" s="1"/>
  <c r="K29" i="12"/>
  <c r="N29" i="12" s="1"/>
  <c r="J60" i="40" s="1"/>
  <c r="J29" i="12"/>
  <c r="M29" i="12" s="1"/>
  <c r="F60" i="40" s="1"/>
  <c r="I29" i="12"/>
  <c r="L29" i="12" s="1"/>
  <c r="E60" i="40" s="1"/>
  <c r="K60" i="40" s="1"/>
  <c r="N28" i="12"/>
  <c r="J59" i="40" s="1"/>
  <c r="M28" i="12"/>
  <c r="F59" i="40" s="1"/>
  <c r="K28" i="12"/>
  <c r="J28" i="12"/>
  <c r="I28" i="12"/>
  <c r="L28" i="12" s="1"/>
  <c r="E59" i="40" s="1"/>
  <c r="K59" i="40" s="1"/>
  <c r="K27" i="12"/>
  <c r="N27" i="12" s="1"/>
  <c r="J58" i="40" s="1"/>
  <c r="J27" i="12"/>
  <c r="M27" i="12" s="1"/>
  <c r="F58" i="40" s="1"/>
  <c r="I27" i="12"/>
  <c r="L27" i="12" s="1"/>
  <c r="E58" i="40" s="1"/>
  <c r="K58" i="40" s="1"/>
  <c r="N26" i="12"/>
  <c r="J57" i="40" s="1"/>
  <c r="M26" i="12"/>
  <c r="F57" i="40" s="1"/>
  <c r="K26" i="12"/>
  <c r="J26" i="12"/>
  <c r="I26" i="12"/>
  <c r="L26" i="12" s="1"/>
  <c r="E57" i="40" s="1"/>
  <c r="K57" i="40" s="1"/>
  <c r="K25" i="12"/>
  <c r="N25" i="12" s="1"/>
  <c r="J56" i="40" s="1"/>
  <c r="J25" i="12"/>
  <c r="M25" i="12" s="1"/>
  <c r="F56" i="40" s="1"/>
  <c r="I25" i="12"/>
  <c r="L25" i="12" s="1"/>
  <c r="E56" i="40" s="1"/>
  <c r="K56" i="40" s="1"/>
  <c r="N24" i="12"/>
  <c r="J55" i="40" s="1"/>
  <c r="M24" i="12"/>
  <c r="F55" i="40" s="1"/>
  <c r="K24" i="12"/>
  <c r="J24" i="12"/>
  <c r="I24" i="12"/>
  <c r="L24" i="12" s="1"/>
  <c r="E55" i="40" s="1"/>
  <c r="K55" i="40" s="1"/>
  <c r="K23" i="12"/>
  <c r="N23" i="12" s="1"/>
  <c r="J54" i="40" s="1"/>
  <c r="J23" i="12"/>
  <c r="M23" i="12" s="1"/>
  <c r="F54" i="40" s="1"/>
  <c r="I23" i="12"/>
  <c r="L23" i="12" s="1"/>
  <c r="E54" i="40" s="1"/>
  <c r="K54" i="40" s="1"/>
  <c r="N22" i="12"/>
  <c r="J53" i="40" s="1"/>
  <c r="M22" i="12"/>
  <c r="F53" i="40" s="1"/>
  <c r="K22" i="12"/>
  <c r="J22" i="12"/>
  <c r="I22" i="12"/>
  <c r="L22" i="12" s="1"/>
  <c r="E53" i="40" s="1"/>
  <c r="K53" i="40" s="1"/>
  <c r="K21" i="12"/>
  <c r="N21" i="12" s="1"/>
  <c r="J33" i="40" s="1"/>
  <c r="J21" i="12"/>
  <c r="M21" i="12" s="1"/>
  <c r="F33" i="40" s="1"/>
  <c r="I21" i="12"/>
  <c r="L21" i="12" s="1"/>
  <c r="E33" i="40" s="1"/>
  <c r="N20" i="12"/>
  <c r="J32" i="40" s="1"/>
  <c r="M20" i="12"/>
  <c r="F32" i="40" s="1"/>
  <c r="K20" i="12"/>
  <c r="J20" i="12"/>
  <c r="I20" i="12"/>
  <c r="L20" i="12" s="1"/>
  <c r="E32" i="40" s="1"/>
  <c r="K32" i="40" s="1"/>
  <c r="K19" i="12"/>
  <c r="N19" i="12" s="1"/>
  <c r="J31" i="40" s="1"/>
  <c r="J19" i="12"/>
  <c r="M19" i="12" s="1"/>
  <c r="F31" i="40" s="1"/>
  <c r="I19" i="12"/>
  <c r="L19" i="12" s="1"/>
  <c r="E31" i="40" s="1"/>
  <c r="N18" i="12"/>
  <c r="J30" i="40" s="1"/>
  <c r="M18" i="12"/>
  <c r="F30" i="40" s="1"/>
  <c r="K18" i="12"/>
  <c r="J18" i="12"/>
  <c r="I18" i="12"/>
  <c r="L18" i="12" s="1"/>
  <c r="E30" i="40" s="1"/>
  <c r="AA16" i="12"/>
  <c r="N16" i="12"/>
  <c r="I21" i="32" s="1"/>
  <c r="AA15" i="12"/>
  <c r="U15" i="12"/>
  <c r="N15" i="12"/>
  <c r="I19" i="32" s="1"/>
  <c r="M15" i="12"/>
  <c r="E19" i="32" s="1"/>
  <c r="U14" i="12"/>
  <c r="N14" i="12"/>
  <c r="I18" i="32" s="1"/>
  <c r="M14" i="12"/>
  <c r="E18" i="32" s="1"/>
  <c r="AA13" i="12"/>
  <c r="N13" i="12"/>
  <c r="I17" i="32" s="1"/>
  <c r="M13" i="12"/>
  <c r="E17" i="32" s="1"/>
  <c r="AA12" i="12"/>
  <c r="N12" i="12"/>
  <c r="I16" i="32" s="1"/>
  <c r="M12" i="12"/>
  <c r="E16" i="32" s="1"/>
  <c r="AA11" i="12"/>
  <c r="N11" i="12"/>
  <c r="I15" i="32" s="1"/>
  <c r="M11" i="12"/>
  <c r="E15" i="32" s="1"/>
  <c r="N3" i="12"/>
  <c r="D53" i="7" s="1"/>
  <c r="C34" i="11"/>
  <c r="E30" i="11"/>
  <c r="C30" i="11"/>
  <c r="E29" i="11"/>
  <c r="C29" i="11"/>
  <c r="D5" i="29" s="1"/>
  <c r="C8" i="11"/>
  <c r="D3" i="44" s="1"/>
  <c r="C7" i="11"/>
  <c r="E5" i="41" s="1"/>
  <c r="E6" i="11"/>
  <c r="C6" i="11"/>
  <c r="E21" i="40" s="1"/>
  <c r="E5" i="11"/>
  <c r="C5" i="11"/>
  <c r="D5" i="15" s="1"/>
  <c r="E4" i="11"/>
  <c r="C4" i="11"/>
  <c r="D4" i="7" s="1"/>
  <c r="E3" i="11"/>
  <c r="C3" i="11"/>
  <c r="D5" i="32" s="1"/>
  <c r="C2" i="11"/>
  <c r="G15" i="10"/>
  <c r="E5" i="10"/>
  <c r="E11" i="9"/>
  <c r="D7" i="9"/>
  <c r="F13" i="8"/>
  <c r="E13" i="8"/>
  <c r="F8" i="8"/>
  <c r="E8" i="8"/>
  <c r="D5" i="8"/>
  <c r="D4" i="8"/>
  <c r="D52" i="7"/>
  <c r="G50" i="7"/>
  <c r="E45" i="7"/>
  <c r="G44" i="7"/>
  <c r="E43" i="7"/>
  <c r="G42" i="7"/>
  <c r="E42" i="7"/>
  <c r="G38" i="7"/>
  <c r="E38" i="7"/>
  <c r="E37" i="7"/>
  <c r="E36" i="7"/>
  <c r="G35" i="7"/>
  <c r="E35" i="7"/>
  <c r="G34" i="7"/>
  <c r="E34" i="7"/>
  <c r="G33" i="7"/>
  <c r="E33" i="7"/>
  <c r="E32" i="7"/>
  <c r="A32" i="7"/>
  <c r="D32" i="7" s="1"/>
  <c r="G28" i="7"/>
  <c r="G27" i="7"/>
  <c r="G26" i="7"/>
  <c r="E18" i="7"/>
  <c r="G17" i="7"/>
  <c r="E17" i="7"/>
  <c r="G16" i="7"/>
  <c r="E16" i="7"/>
  <c r="F15" i="7"/>
  <c r="F14" i="7"/>
  <c r="G13" i="7"/>
  <c r="E13" i="7"/>
  <c r="E12" i="7"/>
  <c r="F11" i="7"/>
  <c r="D5" i="7"/>
  <c r="D5" i="6"/>
  <c r="AQ116" i="5"/>
  <c r="AP116" i="5"/>
  <c r="S48" i="54" s="1"/>
  <c r="K52" i="54" s="1"/>
  <c r="S52" i="54" s="1"/>
  <c r="AO116" i="5"/>
  <c r="S47" i="54" s="1"/>
  <c r="AN116" i="5"/>
  <c r="S46" i="54" s="1"/>
  <c r="AM116" i="5"/>
  <c r="AL116" i="5"/>
  <c r="AD48" i="54" s="1"/>
  <c r="AK116" i="5"/>
  <c r="AD47" i="54" s="1"/>
  <c r="AJ116" i="5"/>
  <c r="AD46" i="54" s="1"/>
  <c r="AI116" i="5"/>
  <c r="AH116" i="5"/>
  <c r="AQ111" i="5"/>
  <c r="AP111" i="5"/>
  <c r="S43" i="53" s="1"/>
  <c r="I44" i="53" s="1"/>
  <c r="AO111" i="5"/>
  <c r="S42" i="53" s="1"/>
  <c r="AN111" i="5"/>
  <c r="S41" i="53" s="1"/>
  <c r="AM111" i="5"/>
  <c r="AL111" i="5"/>
  <c r="AC43" i="53" s="1"/>
  <c r="AK111" i="5"/>
  <c r="AC42" i="53" s="1"/>
  <c r="AJ111" i="5"/>
  <c r="AC41" i="53" s="1"/>
  <c r="AI111" i="5"/>
  <c r="AH111" i="5"/>
  <c r="AQ106" i="5"/>
  <c r="AP106" i="5"/>
  <c r="S43" i="52" s="1"/>
  <c r="I44" i="52" s="1"/>
  <c r="AO106" i="5"/>
  <c r="S42" i="52" s="1"/>
  <c r="AN106" i="5"/>
  <c r="S41" i="52" s="1"/>
  <c r="AM106" i="5"/>
  <c r="AL106" i="5"/>
  <c r="AC43" i="52" s="1"/>
  <c r="AK106" i="5"/>
  <c r="AC42" i="52" s="1"/>
  <c r="AJ106" i="5"/>
  <c r="AC41" i="52" s="1"/>
  <c r="AI106" i="5"/>
  <c r="AH106" i="5"/>
  <c r="AQ100" i="5"/>
  <c r="AP100" i="5"/>
  <c r="S48" i="51" s="1"/>
  <c r="K52" i="51" s="1"/>
  <c r="S52" i="51" s="1"/>
  <c r="AO100" i="5"/>
  <c r="S47" i="51" s="1"/>
  <c r="AN100" i="5"/>
  <c r="S46" i="51" s="1"/>
  <c r="AM100" i="5"/>
  <c r="AL100" i="5"/>
  <c r="AD48" i="51" s="1"/>
  <c r="AK100" i="5"/>
  <c r="AD47" i="51" s="1"/>
  <c r="AJ100" i="5"/>
  <c r="AD46" i="51" s="1"/>
  <c r="AI100" i="5"/>
  <c r="AH100" i="5"/>
  <c r="AQ95" i="5"/>
  <c r="AP95" i="5"/>
  <c r="AO95" i="5"/>
  <c r="AN95" i="5"/>
  <c r="AM95" i="5"/>
  <c r="AL95" i="5"/>
  <c r="AK95" i="5"/>
  <c r="AJ95" i="5"/>
  <c r="AI95" i="5"/>
  <c r="AH95" i="5"/>
  <c r="AQ90" i="5"/>
  <c r="AP90" i="5"/>
  <c r="AO90" i="5"/>
  <c r="AN90" i="5"/>
  <c r="AM90" i="5"/>
  <c r="AL90" i="5"/>
  <c r="AC43" i="49" s="1"/>
  <c r="AK90" i="5"/>
  <c r="AJ90" i="5"/>
  <c r="AC41" i="50" s="1"/>
  <c r="AI90" i="5"/>
  <c r="AH90" i="5"/>
  <c r="AQ84" i="5"/>
  <c r="AP84" i="5"/>
  <c r="S48" i="39" s="1"/>
  <c r="K52" i="39" s="1"/>
  <c r="S52" i="39" s="1"/>
  <c r="AO84" i="5"/>
  <c r="S47" i="39" s="1"/>
  <c r="AN84" i="5"/>
  <c r="S46" i="39" s="1"/>
  <c r="AM84" i="5"/>
  <c r="AL84" i="5"/>
  <c r="AD48" i="39" s="1"/>
  <c r="AK84" i="5"/>
  <c r="AD47" i="39" s="1"/>
  <c r="AJ84" i="5"/>
  <c r="AD46" i="39" s="1"/>
  <c r="AI84" i="5"/>
  <c r="AH84" i="5"/>
  <c r="AQ79" i="5"/>
  <c r="AP79" i="5"/>
  <c r="S43" i="38" s="1"/>
  <c r="I44" i="38" s="1"/>
  <c r="AO79" i="5"/>
  <c r="S42" i="38" s="1"/>
  <c r="AN79" i="5"/>
  <c r="S41" i="38" s="1"/>
  <c r="AM79" i="5"/>
  <c r="AL79" i="5"/>
  <c r="AC43" i="38" s="1"/>
  <c r="AK79" i="5"/>
  <c r="AC42" i="38" s="1"/>
  <c r="AJ79" i="5"/>
  <c r="AC41" i="38" s="1"/>
  <c r="AI79" i="5"/>
  <c r="AH79" i="5"/>
  <c r="AQ74" i="5"/>
  <c r="AP74" i="5"/>
  <c r="S43" i="37" s="1"/>
  <c r="I44" i="37" s="1"/>
  <c r="AO74" i="5"/>
  <c r="AN74" i="5"/>
  <c r="S41" i="37" s="1"/>
  <c r="AM74" i="5"/>
  <c r="AL74" i="5"/>
  <c r="AC43" i="37" s="1"/>
  <c r="AK74" i="5"/>
  <c r="AC42" i="37" s="1"/>
  <c r="AJ74" i="5"/>
  <c r="AC41" i="37" s="1"/>
  <c r="AI74" i="5"/>
  <c r="AH74" i="5"/>
  <c r="AQ69" i="5"/>
  <c r="AP69" i="5"/>
  <c r="S43" i="36" s="1"/>
  <c r="I44" i="36" s="1"/>
  <c r="AO69" i="5"/>
  <c r="S42" i="36" s="1"/>
  <c r="AN69" i="5"/>
  <c r="S41" i="36" s="1"/>
  <c r="AM69" i="5"/>
  <c r="AL69" i="5"/>
  <c r="AC43" i="36" s="1"/>
  <c r="AK69" i="5"/>
  <c r="AC42" i="36" s="1"/>
  <c r="AJ69" i="5"/>
  <c r="AC41" i="36" s="1"/>
  <c r="AI69" i="5"/>
  <c r="AH69" i="5"/>
  <c r="AQ64" i="5"/>
  <c r="AP64" i="5"/>
  <c r="S43" i="35" s="1"/>
  <c r="I44" i="35" s="1"/>
  <c r="AO64" i="5"/>
  <c r="S42" i="35" s="1"/>
  <c r="AN64" i="5"/>
  <c r="S41" i="35" s="1"/>
  <c r="AM64" i="5"/>
  <c r="AL64" i="5"/>
  <c r="AC43" i="35" s="1"/>
  <c r="AK64" i="5"/>
  <c r="AC42" i="35" s="1"/>
  <c r="AJ64" i="5"/>
  <c r="AC41" i="35" s="1"/>
  <c r="AI64" i="5"/>
  <c r="AH64" i="5"/>
  <c r="AQ48" i="5"/>
  <c r="S48" i="23" s="1"/>
  <c r="K51" i="23" s="1"/>
  <c r="S51" i="23" s="1"/>
  <c r="AP48" i="5"/>
  <c r="S47" i="23" s="1"/>
  <c r="AO48" i="5"/>
  <c r="S46" i="23" s="1"/>
  <c r="AN48" i="5"/>
  <c r="S45" i="23" s="1"/>
  <c r="AM48" i="5"/>
  <c r="AB48" i="23" s="1"/>
  <c r="AL48" i="5"/>
  <c r="AB47" i="23" s="1"/>
  <c r="AK48" i="5"/>
  <c r="AB46" i="23" s="1"/>
  <c r="AJ48" i="5"/>
  <c r="AB45" i="23" s="1"/>
  <c r="AI48" i="5"/>
  <c r="AH48" i="5"/>
  <c r="AQ43" i="5"/>
  <c r="S46" i="18" s="1"/>
  <c r="I47" i="18" s="1"/>
  <c r="AP43" i="5"/>
  <c r="S45" i="18" s="1"/>
  <c r="AO43" i="5"/>
  <c r="S44" i="18" s="1"/>
  <c r="AN43" i="5"/>
  <c r="S43" i="18" s="1"/>
  <c r="AM43" i="5"/>
  <c r="AD46" i="18" s="1"/>
  <c r="AL43" i="5"/>
  <c r="AD45" i="18" s="1"/>
  <c r="AK43" i="5"/>
  <c r="AD44" i="18" s="1"/>
  <c r="AJ43" i="5"/>
  <c r="AD43" i="18" s="1"/>
  <c r="AI43" i="5"/>
  <c r="AH43" i="5"/>
  <c r="AQ41" i="5"/>
  <c r="AP41" i="5"/>
  <c r="AO41" i="5"/>
  <c r="AN41" i="5"/>
  <c r="AM41" i="5"/>
  <c r="AL41" i="5"/>
  <c r="AK41" i="5"/>
  <c r="AJ41" i="5"/>
  <c r="AI41" i="5"/>
  <c r="AH41" i="5"/>
  <c r="AQ38" i="5"/>
  <c r="S46" i="21" s="1"/>
  <c r="J48" i="21" s="1"/>
  <c r="AP38" i="5"/>
  <c r="S45" i="21" s="1"/>
  <c r="AO38" i="5"/>
  <c r="S44" i="21" s="1"/>
  <c r="AN38" i="5"/>
  <c r="S43" i="21" s="1"/>
  <c r="AM38" i="5"/>
  <c r="AD46" i="21" s="1"/>
  <c r="AL38" i="5"/>
  <c r="AD45" i="21" s="1"/>
  <c r="AK38" i="5"/>
  <c r="AD44" i="21" s="1"/>
  <c r="AJ38" i="5"/>
  <c r="AD43" i="21" s="1"/>
  <c r="AI38" i="5"/>
  <c r="AH38" i="5"/>
  <c r="AQ33" i="5"/>
  <c r="S46" i="20" s="1"/>
  <c r="AP33" i="5"/>
  <c r="S45" i="20" s="1"/>
  <c r="AO33" i="5"/>
  <c r="S44" i="20" s="1"/>
  <c r="AN33" i="5"/>
  <c r="S43" i="20" s="1"/>
  <c r="AM33" i="5"/>
  <c r="AD46" i="20" s="1"/>
  <c r="AL33" i="5"/>
  <c r="AD45" i="20" s="1"/>
  <c r="AK33" i="5"/>
  <c r="AD44" i="20" s="1"/>
  <c r="AJ33" i="5"/>
  <c r="AD43" i="20" s="1"/>
  <c r="AI33" i="5"/>
  <c r="AH33" i="5"/>
  <c r="AQ28" i="5"/>
  <c r="U52" i="22" s="1"/>
  <c r="I53" i="22" s="1"/>
  <c r="J54" i="22" s="1"/>
  <c r="AP28" i="5"/>
  <c r="U51" i="22" s="1"/>
  <c r="AO28" i="5"/>
  <c r="U50" i="22" s="1"/>
  <c r="AN28" i="5"/>
  <c r="U49" i="22" s="1"/>
  <c r="AM28" i="5"/>
  <c r="AG52" i="22" s="1"/>
  <c r="AL28" i="5"/>
  <c r="AG51" i="22" s="1"/>
  <c r="AK28" i="5"/>
  <c r="AG50" i="22" s="1"/>
  <c r="AJ28" i="5"/>
  <c r="AG49" i="22" s="1"/>
  <c r="AI28" i="5"/>
  <c r="AH28" i="5"/>
  <c r="AQ23" i="5"/>
  <c r="AP23" i="5"/>
  <c r="S45" i="19" s="1"/>
  <c r="AO23" i="5"/>
  <c r="L20" i="24" s="1"/>
  <c r="AN23" i="5"/>
  <c r="AM23" i="5"/>
  <c r="AL23" i="5"/>
  <c r="AK23" i="5"/>
  <c r="AD44" i="19" s="1"/>
  <c r="AJ23" i="5"/>
  <c r="O19" i="24" s="1"/>
  <c r="AI23" i="5"/>
  <c r="AH23" i="5"/>
  <c r="AQ18" i="5"/>
  <c r="AP18" i="5"/>
  <c r="S45" i="17" s="1"/>
  <c r="AO18" i="5"/>
  <c r="S44" i="17" s="1"/>
  <c r="AN18" i="5"/>
  <c r="S43" i="17" s="1"/>
  <c r="AM18" i="5"/>
  <c r="AD46" i="17" s="1"/>
  <c r="AL18" i="5"/>
  <c r="AD45" i="17" s="1"/>
  <c r="AK18" i="5"/>
  <c r="AJ18" i="5"/>
  <c r="AD43" i="17" s="1"/>
  <c r="AI18" i="5"/>
  <c r="AH18" i="5"/>
  <c r="AQ15" i="5"/>
  <c r="AP15" i="5"/>
  <c r="AO15" i="5"/>
  <c r="AN15" i="5"/>
  <c r="AM15" i="5"/>
  <c r="AL15" i="5"/>
  <c r="AK15" i="5"/>
  <c r="AJ15" i="5"/>
  <c r="AI15" i="5"/>
  <c r="AH15" i="5"/>
  <c r="AQ13" i="5"/>
  <c r="S46" i="16" s="1"/>
  <c r="I47" i="16" s="1"/>
  <c r="AP13" i="5"/>
  <c r="AO13" i="5"/>
  <c r="S44" i="16" s="1"/>
  <c r="AN13" i="5"/>
  <c r="S43" i="16" s="1"/>
  <c r="AM13" i="5"/>
  <c r="AD46" i="16" s="1"/>
  <c r="AL13" i="5"/>
  <c r="AD45" i="16" s="1"/>
  <c r="AK13" i="5"/>
  <c r="AD44" i="16" s="1"/>
  <c r="AJ13" i="5"/>
  <c r="AD43" i="16" s="1"/>
  <c r="AI13" i="5"/>
  <c r="AH13" i="5"/>
  <c r="D6" i="5"/>
  <c r="D5" i="5"/>
  <c r="R13" i="4"/>
  <c r="H11" i="32" s="1"/>
  <c r="E13" i="4"/>
  <c r="P13" i="4" s="1"/>
  <c r="E7" i="4"/>
  <c r="D5" i="4"/>
  <c r="D4" i="4"/>
  <c r="O13" i="3"/>
  <c r="M13" i="3" a="1"/>
  <c r="M13" i="3"/>
  <c r="E13" i="3"/>
  <c r="G12" i="3"/>
  <c r="I13" i="4" s="1"/>
  <c r="Q13" i="4" s="1"/>
  <c r="E12" i="3"/>
  <c r="E4" i="3"/>
  <c r="E57" i="2"/>
  <c r="E47" i="2"/>
  <c r="E39" i="2"/>
  <c r="F23" i="2"/>
  <c r="E20" i="2"/>
  <c r="E19" i="2"/>
  <c r="F18" i="2"/>
  <c r="E5" i="2"/>
  <c r="B5" i="1" s="1"/>
  <c r="E3" i="2"/>
  <c r="E2" i="2"/>
  <c r="AL46" i="52"/>
  <c r="K9" i="64"/>
  <c r="AL7" i="36"/>
  <c r="P11" i="66"/>
  <c r="AL7" i="38"/>
  <c r="AL46" i="50"/>
  <c r="L22" i="27"/>
  <c r="P2" i="66"/>
  <c r="K2" i="64"/>
  <c r="AL7" i="53"/>
  <c r="AL7" i="35"/>
  <c r="L21" i="27"/>
  <c r="Y25" i="26"/>
  <c r="AN49" i="18"/>
  <c r="AL46" i="53"/>
  <c r="AL46" i="35"/>
  <c r="L20" i="27"/>
  <c r="AR56" i="22"/>
  <c r="AN8" i="18"/>
  <c r="M2" i="65"/>
  <c r="AL7" i="37"/>
  <c r="L19" i="27"/>
  <c r="AL7" i="49"/>
  <c r="AL46" i="37"/>
  <c r="AV51" i="23"/>
  <c r="AN49" i="21"/>
  <c r="AN8" i="21"/>
  <c r="AL46" i="49"/>
  <c r="Y25" i="24"/>
  <c r="M10" i="65"/>
  <c r="AL7" i="52"/>
  <c r="AR55" i="22"/>
  <c r="AN49" i="19"/>
  <c r="AR8" i="22"/>
  <c r="AN8" i="17"/>
  <c r="AL46" i="38"/>
  <c r="AV8" i="23"/>
  <c r="AN49" i="17"/>
  <c r="J13" i="3"/>
  <c r="AN8" i="19"/>
  <c r="AL7" i="50"/>
  <c r="AL46" i="36"/>
  <c r="Y23" i="27"/>
  <c r="L23" i="27"/>
  <c r="AN8" i="20"/>
  <c r="AN8" i="16"/>
  <c r="Y25" i="25"/>
  <c r="AN49" i="20"/>
  <c r="AN49" i="16"/>
  <c r="J14" i="14"/>
  <c r="J45" i="38" l="1"/>
  <c r="S44" i="38"/>
  <c r="J45" i="53"/>
  <c r="S44" i="53"/>
  <c r="J7" i="17"/>
  <c r="S6" i="17"/>
  <c r="I10" i="43"/>
  <c r="I10" i="42"/>
  <c r="I9" i="31"/>
  <c r="I25" i="40"/>
  <c r="H9" i="32"/>
  <c r="H14" i="41"/>
  <c r="I26" i="33"/>
  <c r="I7" i="44"/>
  <c r="J45" i="36"/>
  <c r="S44" i="36"/>
  <c r="D36" i="7"/>
  <c r="D37" i="7" s="1"/>
  <c r="D38" i="7" s="1"/>
  <c r="D35" i="7"/>
  <c r="D34" i="7"/>
  <c r="D33" i="7"/>
  <c r="E83" i="40"/>
  <c r="E82" i="40"/>
  <c r="K82" i="40" s="1"/>
  <c r="K81" i="40"/>
  <c r="E84" i="40"/>
  <c r="E138" i="40"/>
  <c r="E137" i="40"/>
  <c r="E139" i="40"/>
  <c r="J48" i="17"/>
  <c r="S47" i="17"/>
  <c r="J48" i="20"/>
  <c r="I47" i="20"/>
  <c r="I26" i="40"/>
  <c r="H10" i="32"/>
  <c r="H15" i="41"/>
  <c r="I27" i="33"/>
  <c r="I8" i="44"/>
  <c r="I11" i="43"/>
  <c r="I11" i="42"/>
  <c r="I10" i="31"/>
  <c r="J45" i="35"/>
  <c r="S44" i="35"/>
  <c r="K49" i="21"/>
  <c r="S49" i="21" s="1"/>
  <c r="S48" i="21"/>
  <c r="U54" i="22"/>
  <c r="K55" i="22"/>
  <c r="K7" i="35"/>
  <c r="S7" i="35" s="1"/>
  <c r="S6" i="35"/>
  <c r="J48" i="16"/>
  <c r="S47" i="16"/>
  <c r="E116" i="40"/>
  <c r="E115" i="40"/>
  <c r="E114" i="40"/>
  <c r="E144" i="40"/>
  <c r="E143" i="40"/>
  <c r="E142" i="40"/>
  <c r="J7" i="16"/>
  <c r="S6" i="16"/>
  <c r="B46" i="40"/>
  <c r="B51" i="40"/>
  <c r="B40" i="40"/>
  <c r="B45" i="40"/>
  <c r="B50" i="40"/>
  <c r="B49" i="40"/>
  <c r="B43" i="40"/>
  <c r="B48" i="40"/>
  <c r="B42" i="40"/>
  <c r="B34" i="40"/>
  <c r="K33" i="40"/>
  <c r="B47" i="40"/>
  <c r="B41" i="40"/>
  <c r="B44" i="40"/>
  <c r="J48" i="18"/>
  <c r="S47" i="18"/>
  <c r="J6" i="36"/>
  <c r="S5" i="36"/>
  <c r="L22" i="24"/>
  <c r="F23" i="24" s="1"/>
  <c r="S46" i="19"/>
  <c r="E38" i="28"/>
  <c r="E35" i="28"/>
  <c r="F5" i="48"/>
  <c r="E32" i="28"/>
  <c r="E31" i="28"/>
  <c r="E28" i="28"/>
  <c r="E25" i="28"/>
  <c r="E24" i="28"/>
  <c r="S7" i="18"/>
  <c r="S44" i="19"/>
  <c r="L21" i="24"/>
  <c r="L36" i="47"/>
  <c r="K36" i="47" s="1"/>
  <c r="K48" i="47"/>
  <c r="S43" i="50"/>
  <c r="I44" i="50" s="1"/>
  <c r="S43" i="49"/>
  <c r="I44" i="49" s="1"/>
  <c r="J51" i="13"/>
  <c r="E16" i="15"/>
  <c r="I47" i="21"/>
  <c r="S5" i="50"/>
  <c r="J6" i="50"/>
  <c r="J6" i="38"/>
  <c r="S5" i="38"/>
  <c r="J6" i="49"/>
  <c r="S5" i="49"/>
  <c r="AC43" i="50"/>
  <c r="J6" i="52"/>
  <c r="S5" i="52"/>
  <c r="G24" i="25"/>
  <c r="L23" i="25"/>
  <c r="S6" i="37"/>
  <c r="K7" i="37"/>
  <c r="S7" i="37" s="1"/>
  <c r="S7" i="21"/>
  <c r="J45" i="37"/>
  <c r="S44" i="37"/>
  <c r="J45" i="52"/>
  <c r="S44" i="52"/>
  <c r="H25" i="26"/>
  <c r="L25" i="26" s="1"/>
  <c r="L24" i="26"/>
  <c r="L58" i="47"/>
  <c r="K58" i="47" s="1"/>
  <c r="K38" i="47"/>
  <c r="AC42" i="49"/>
  <c r="AC42" i="50"/>
  <c r="O21" i="24"/>
  <c r="AD45" i="19"/>
  <c r="K8" i="22"/>
  <c r="I49" i="23"/>
  <c r="S5" i="35"/>
  <c r="I27" i="40"/>
  <c r="I28" i="33"/>
  <c r="I9" i="44"/>
  <c r="H16" i="41"/>
  <c r="I12" i="43"/>
  <c r="I12" i="42"/>
  <c r="K8" i="20"/>
  <c r="S8" i="20" s="1"/>
  <c r="S7" i="20"/>
  <c r="E42" i="28"/>
  <c r="I58" i="47"/>
  <c r="H58" i="47" s="1"/>
  <c r="H38" i="47"/>
  <c r="S42" i="49"/>
  <c r="S42" i="50"/>
  <c r="O22" i="24"/>
  <c r="AD46" i="19"/>
  <c r="L19" i="24"/>
  <c r="S43" i="19"/>
  <c r="S41" i="50"/>
  <c r="S41" i="49"/>
  <c r="J50" i="13"/>
  <c r="J50" i="23"/>
  <c r="I11" i="31"/>
  <c r="K39" i="47"/>
  <c r="H39" i="47"/>
  <c r="S6" i="53"/>
  <c r="K49" i="47"/>
  <c r="H15" i="47"/>
  <c r="K15" i="47"/>
  <c r="E51" i="40" l="1"/>
  <c r="E50" i="40"/>
  <c r="E48" i="40"/>
  <c r="E46" i="40"/>
  <c r="E49" i="40"/>
  <c r="S44" i="49"/>
  <c r="J45" i="49"/>
  <c r="I31" i="40"/>
  <c r="H31" i="40"/>
  <c r="H156" i="40" s="1"/>
  <c r="K8" i="16"/>
  <c r="S8" i="16" s="1"/>
  <c r="S7" i="16"/>
  <c r="K7" i="52"/>
  <c r="S7" i="52" s="1"/>
  <c r="S6" i="52"/>
  <c r="S44" i="50"/>
  <c r="J45" i="50"/>
  <c r="E40" i="40"/>
  <c r="E45" i="40"/>
  <c r="E44" i="40"/>
  <c r="E43" i="40"/>
  <c r="E42" i="40"/>
  <c r="L56" i="22"/>
  <c r="U56" i="22" s="1"/>
  <c r="U55" i="22"/>
  <c r="K49" i="20"/>
  <c r="S49" i="20" s="1"/>
  <c r="S48" i="20"/>
  <c r="I47" i="19"/>
  <c r="J48" i="19"/>
  <c r="D42" i="7"/>
  <c r="D43" i="7" s="1"/>
  <c r="D44" i="7" s="1"/>
  <c r="D40" i="7"/>
  <c r="D39" i="7"/>
  <c r="K8" i="17"/>
  <c r="S8" i="17" s="1"/>
  <c r="S7" i="17"/>
  <c r="K49" i="18"/>
  <c r="S49" i="18" s="1"/>
  <c r="S48" i="18"/>
  <c r="L24" i="25"/>
  <c r="H25" i="25"/>
  <c r="L25" i="25" s="1"/>
  <c r="K46" i="52"/>
  <c r="S46" i="52" s="1"/>
  <c r="S45" i="52"/>
  <c r="K7" i="49"/>
  <c r="S7" i="49" s="1"/>
  <c r="S6" i="49"/>
  <c r="L23" i="24"/>
  <c r="G24" i="24"/>
  <c r="K46" i="35"/>
  <c r="S46" i="35" s="1"/>
  <c r="S45" i="35"/>
  <c r="K49" i="17"/>
  <c r="S49" i="17" s="1"/>
  <c r="S48" i="17"/>
  <c r="S48" i="16"/>
  <c r="K49" i="16"/>
  <c r="S49" i="16" s="1"/>
  <c r="S45" i="53"/>
  <c r="K46" i="53"/>
  <c r="S46" i="53" s="1"/>
  <c r="U8" i="22"/>
  <c r="L9" i="22"/>
  <c r="U9" i="22" s="1"/>
  <c r="K46" i="37"/>
  <c r="S46" i="37" s="1"/>
  <c r="S45" i="37"/>
  <c r="K7" i="38"/>
  <c r="S7" i="38" s="1"/>
  <c r="S6" i="38"/>
  <c r="S6" i="36"/>
  <c r="K7" i="36"/>
  <c r="S7" i="36" s="1"/>
  <c r="K46" i="36"/>
  <c r="S46" i="36" s="1"/>
  <c r="S45" i="36"/>
  <c r="K7" i="50"/>
  <c r="S7" i="50" s="1"/>
  <c r="S6" i="50"/>
  <c r="K46" i="38"/>
  <c r="S46" i="38" s="1"/>
  <c r="S45" i="38"/>
  <c r="I86" i="40" l="1"/>
  <c r="I87" i="40" s="1"/>
  <c r="K46" i="49"/>
  <c r="S46" i="49" s="1"/>
  <c r="S45" i="49"/>
  <c r="K46" i="50"/>
  <c r="S46" i="50" s="1"/>
  <c r="S45" i="50"/>
  <c r="S48" i="19"/>
  <c r="K49" i="19"/>
  <c r="S49" i="19" s="1"/>
  <c r="H25" i="24"/>
  <c r="L25" i="24" s="1"/>
  <c r="L24" i="24"/>
  <c r="D50" i="7"/>
  <c r="D48" i="7"/>
  <c r="D47" i="7"/>
  <c r="D46" i="7"/>
  <c r="D45" i="7"/>
  <c r="I156" i="40" l="1"/>
</calcChain>
</file>

<file path=xl/comments1.xml><?xml version="1.0" encoding="utf-8"?>
<comments xmlns="http://schemas.openxmlformats.org/spreadsheetml/2006/main">
  <authors>
    <author>Author</author>
  </authors>
  <commentList>
    <comment ref="F29" authorId="0" shapeId="0">
      <text>
        <r>
          <rPr>
            <sz val="9"/>
            <color indexed="81"/>
            <rFont val="Tahoma"/>
            <family val="2"/>
          </rPr>
          <t>Выбор организации двойным щелчком левой клавиши мыши</t>
        </r>
      </text>
    </comment>
    <comment ref="E35"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comments3.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List>
</comments>
</file>

<file path=xl/sharedStrings.xml><?xml version="1.0" encoding="utf-8"?>
<sst xmlns="http://schemas.openxmlformats.org/spreadsheetml/2006/main" count="21993" uniqueCount="4144">
  <si>
    <t xml:space="preserve"> (требуется обновление)</t>
  </si>
  <si>
    <t>Код отчёта: PP110.OPEN.INFO.BALANCE.HEAT.EIAS</t>
  </si>
  <si>
    <t>Версия отчёта: 1.0.0</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</si>
  <si>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</si>
  <si>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</si>
  <si>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</si>
  <si>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</si>
  <si>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</si>
  <si>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</si>
  <si>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</si>
  <si>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</si>
  <si>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</si>
  <si>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</si>
  <si>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</si>
  <si>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Нижегородская область</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</si>
  <si>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</si>
  <si>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</si>
  <si>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</si>
  <si>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</si>
  <si>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</si>
  <si>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</si>
  <si>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</si>
  <si>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</si>
  <si>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</si>
  <si>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</si>
  <si>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</si>
  <si>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</si>
  <si>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</si>
  <si>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</si>
  <si>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</si>
  <si>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</si>
  <si>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</si>
  <si>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</si>
  <si>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</si>
  <si>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04.07.2023</t>
  </si>
  <si>
    <t>Отображается, если тип отчёта - изменение</t>
  </si>
  <si>
    <t>Дата периода регулирования, с которой вводятся изменения в тарифы</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</si>
  <si>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</si>
  <si>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</si>
  <si>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</si>
  <si>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</si>
  <si>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</si>
  <si>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Дата принятия решения об изменении тарифов</t>
  </si>
  <si>
    <t>Номер принятия решения об изменении тарифов</t>
  </si>
  <si>
    <t>Наименование ЮЛ / ИП</t>
  </si>
  <si>
    <t>ООО "Автозаводская ТЭЦ"</t>
  </si>
  <si>
    <t>Наименование (описание) обособленного подразделения</t>
  </si>
  <si>
    <t>ИНН</t>
  </si>
  <si>
    <t>5256049357</t>
  </si>
  <si>
    <t>КПП</t>
  </si>
  <si>
    <t>525601001</t>
  </si>
  <si>
    <t>Тип теплоснабжающей организации</t>
  </si>
  <si>
    <t>Теплоснабжающая организация в ценовой зоне теплоснабжения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</si>
  <si>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</si>
  <si>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</si>
  <si>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</si>
  <si>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</si>
  <si>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</si>
  <si>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</si>
  <si>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</si>
  <si>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</si>
  <si>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</si>
  <si>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</si>
  <si>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</si>
  <si>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</si>
  <si>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</si>
  <si>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</si>
  <si>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</si>
  <si>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по группам мероприятий</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</si>
  <si>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</si>
  <si>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</si>
  <si>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603950 г. Н.Новгород, ул. Лоскутова, 1</t>
  </si>
  <si>
    <t>Фамилия, имя, отчество руководителя</t>
  </si>
  <si>
    <t>Маруськин Андрей Владимирович</t>
  </si>
  <si>
    <t>Ответственный за заполнение формы</t>
  </si>
  <si>
    <t>Фамилия, имя, отчество</t>
  </si>
  <si>
    <t>Кузьмичева Людмила Михайловна</t>
  </si>
  <si>
    <t>Должность</t>
  </si>
  <si>
    <t>Начальник ПЭБ генерации</t>
  </si>
  <si>
    <t>Контактный телефон</t>
  </si>
  <si>
    <t>(831) 290-92-02</t>
  </si>
  <si>
    <t>E-mail</t>
  </si>
  <si>
    <t>KurshakovaLM@volgaenergo.ru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</si>
  <si>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</si>
  <si>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</si>
  <si>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</si>
  <si>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</si>
  <si>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</si>
  <si>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</si>
  <si>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</si>
  <si>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</si>
  <si>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</si>
  <si>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</si>
  <si>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</si>
  <si>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</si>
  <si>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</si>
  <si>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</si>
  <si>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</si>
  <si>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</si>
  <si>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48</t>
  </si>
  <si>
    <t>город Нижний Новгород</t>
  </si>
  <si>
    <t>22701000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</si>
  <si>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</si>
  <si>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</si>
  <si>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</si>
  <si>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</si>
  <si>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</si>
  <si>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</si>
  <si>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</si>
  <si>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</si>
  <si>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</si>
  <si>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</si>
  <si>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</si>
  <si>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</si>
  <si>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</si>
  <si>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</si>
  <si>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</si>
  <si>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</si>
  <si>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4190066</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</si>
  <si>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</si>
  <si>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</si>
  <si>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</si>
  <si>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</si>
  <si>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</si>
  <si>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</si>
  <si>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</si>
  <si>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</si>
  <si>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</si>
  <si>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</si>
  <si>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</si>
  <si>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</si>
  <si>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</si>
  <si>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</si>
  <si>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</si>
  <si>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</si>
  <si>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</si>
  <si>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</si>
  <si>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</si>
  <si>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</si>
  <si>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</si>
  <si>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</si>
  <si>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</si>
  <si>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</si>
  <si>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</si>
  <si>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</si>
  <si>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</si>
  <si>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</si>
  <si>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</si>
  <si>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</si>
  <si>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</si>
  <si>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</si>
  <si>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</si>
  <si>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</si>
  <si>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</si>
  <si>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</si>
  <si>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</si>
  <si>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</si>
  <si>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</si>
  <si>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</si>
  <si>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</si>
  <si>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</si>
  <si>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pt_cs_60</t>
  </si>
  <si>
    <t>pt_ist_te_86</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</si>
  <si>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</si>
  <si>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</si>
  <si>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</si>
  <si>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</si>
  <si>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</si>
  <si>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</si>
  <si>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</si>
  <si>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</si>
  <si>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</si>
  <si>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</si>
  <si>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</si>
  <si>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</si>
  <si>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</si>
  <si>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</si>
  <si>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</si>
  <si>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</si>
  <si>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</si>
  <si>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</si>
  <si>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</si>
  <si>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</si>
  <si>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</si>
  <si>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</si>
  <si>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</si>
  <si>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</si>
  <si>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</si>
  <si>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</si>
  <si>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</si>
  <si>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</si>
  <si>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</si>
  <si>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</si>
  <si>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pt_ter_44</t>
  </si>
  <si>
    <t>pt_cs_50</t>
  </si>
  <si>
    <t>pt_ist_te_76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</si>
  <si>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</si>
  <si>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</si>
  <si>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</si>
  <si>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</si>
  <si>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</si>
  <si>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</si>
  <si>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</si>
  <si>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</si>
  <si>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</si>
  <si>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</si>
  <si>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</si>
  <si>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</si>
  <si>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</si>
  <si>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</si>
  <si>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</si>
  <si>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</si>
  <si>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</si>
  <si>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</si>
  <si>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</si>
  <si>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</si>
  <si>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</si>
  <si>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</si>
  <si>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</si>
  <si>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</si>
  <si>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</si>
  <si>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</si>
  <si>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</si>
  <si>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</si>
  <si>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</si>
  <si>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</si>
  <si>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</si>
  <si>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</si>
  <si>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</si>
  <si>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</si>
  <si>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</si>
  <si>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</si>
  <si>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</si>
  <si>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</si>
  <si>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</si>
  <si>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</si>
  <si>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</si>
  <si>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</si>
  <si>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</si>
  <si>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</si>
  <si>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</si>
  <si>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</si>
  <si>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</si>
  <si>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</si>
  <si>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</si>
  <si>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</si>
  <si>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</si>
  <si>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</si>
  <si>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</si>
  <si>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</si>
  <si>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</si>
  <si>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</si>
  <si>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</si>
  <si>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</si>
  <si>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</si>
  <si>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</si>
  <si>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</si>
  <si>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</si>
  <si>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</si>
  <si>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</si>
  <si>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</si>
  <si>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</si>
  <si>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</si>
  <si>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</si>
  <si>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</si>
  <si>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</si>
  <si>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</si>
  <si>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</si>
  <si>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</si>
  <si>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</si>
  <si>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</si>
  <si>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</si>
  <si>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</si>
  <si>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</si>
  <si>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</si>
  <si>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</si>
  <si>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</si>
  <si>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</si>
  <si>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</si>
  <si>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</si>
  <si>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</si>
  <si>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</si>
  <si>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</si>
  <si>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</si>
  <si>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</si>
  <si>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</si>
  <si>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</si>
  <si>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</si>
  <si>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</si>
  <si>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</si>
  <si>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</si>
  <si>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</si>
  <si>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</si>
  <si>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</si>
  <si>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</si>
  <si>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</si>
  <si>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</si>
  <si>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</si>
  <si>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</si>
  <si>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</si>
  <si>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</si>
  <si>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</si>
  <si>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</si>
  <si>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</si>
  <si>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</si>
  <si>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</si>
  <si>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</si>
  <si>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</si>
  <si>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</si>
  <si>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</si>
  <si>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</si>
  <si>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</si>
  <si>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</si>
  <si>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</si>
  <si>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</si>
  <si>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</si>
  <si>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</si>
  <si>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</si>
  <si>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</si>
  <si>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</si>
  <si>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</si>
  <si>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</si>
  <si>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</si>
  <si>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</si>
  <si>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</si>
  <si>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</si>
  <si>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</si>
  <si>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</si>
  <si>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</si>
  <si>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</si>
  <si>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</si>
  <si>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</si>
  <si>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</si>
  <si>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</si>
  <si>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</si>
  <si>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</si>
  <si>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</si>
  <si>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</si>
  <si>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</si>
  <si>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</si>
  <si>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</si>
  <si>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</si>
  <si>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</si>
  <si>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</si>
  <si>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</si>
  <si>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</si>
  <si>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</si>
  <si>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</si>
  <si>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</si>
  <si>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</si>
  <si>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</si>
  <si>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</si>
  <si>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</si>
  <si>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</si>
  <si>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</si>
  <si>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</si>
  <si>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</si>
  <si>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</si>
  <si>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</si>
  <si>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</si>
  <si>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</si>
  <si>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</si>
  <si>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</si>
  <si>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</si>
  <si>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</si>
  <si>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</si>
  <si>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</si>
  <si>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</si>
  <si>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</si>
  <si>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</si>
  <si>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</si>
  <si>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</si>
  <si>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</si>
  <si>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</si>
  <si>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</si>
  <si>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</si>
  <si>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</si>
  <si>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</si>
  <si>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</si>
  <si>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</si>
  <si>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</si>
  <si>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</si>
  <si>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</si>
  <si>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</si>
  <si>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</si>
  <si>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</si>
  <si>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</si>
  <si>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</si>
  <si>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</si>
  <si>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</si>
  <si>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Имя листа</t>
  </si>
  <si>
    <t>Наименование, номер формы</t>
  </si>
  <si>
    <t>HEAT</t>
  </si>
  <si>
    <t>COLDVSNA</t>
  </si>
  <si>
    <t>VOTV</t>
  </si>
  <si>
    <t>HOTVSNA</t>
  </si>
  <si>
    <t>TKO</t>
  </si>
  <si>
    <t>ТП</t>
  </si>
  <si>
    <t>16</t>
  </si>
  <si>
    <t>Форма 16.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</si>
  <si>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</si>
  <si>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регулируемой организации,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 (общая информация)</t>
  </si>
  <si>
    <t>Форма 1. Информация об организации (общая информация)</t>
  </si>
  <si>
    <t>Договоры</t>
  </si>
  <si>
    <t>Форма 17.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содержит сведения об условиях публичных договоров регулируемых организаций, а также сведения о договорах, заключенных в соответствии с частями 2.1 и 2.2 статьи 8 Федерального закона "О теплоснабжении",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 теплоснабжении", и (или) условиях договоров о подключении (технологическом присоединении) к системе теплоснабжения включает сведения об условиях публичных договоров, заключаемых единой теплоснабжающей организацией в ценовых зонах теплоснабжения</t>
  </si>
  <si>
    <t>Форма 10. Информация об условиях, на которых осуществляется оказание регулируемых услуг в области обращения с твердыми коммунальными отходами, а также об условиях договоров на оказание услуг по транспортированию твердых коммунальных отходов</t>
  </si>
  <si>
    <t>Показатели ФХД</t>
  </si>
  <si>
    <t>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t>
  </si>
  <si>
    <t>Показатели ФХД &gt;20%</t>
  </si>
  <si>
    <t>Форма 11. Информация о расходах на капитальный и текущий ремонт основных средств</t>
  </si>
  <si>
    <t>Форма 6.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</si>
  <si>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</si>
  <si>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</si>
  <si>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7. Информация об основных потребительских характеристиках регулируемых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</si>
  <si>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</si>
  <si>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</si>
  <si>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PRICE_x000D_
_x000D_
Т-ТН_x000D_
Т-передача ТЭ_x000D_
Т-передача ТН</t>
  </si>
  <si>
    <t>Форма 5.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"О теплоснабжении" &lt;1&gt;</t>
  </si>
  <si>
    <t>PRICE_x000D_
_x000D_
Т-гор.вода</t>
  </si>
  <si>
    <t>Форма 6.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&lt;1&gt;</t>
  </si>
  <si>
    <t>PRICE_x000D_
_x000D_
Т-подкл</t>
  </si>
  <si>
    <t>Форма 7.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23.4 Федерального закона "О теплоснабжении" &lt;1&gt;</t>
  </si>
  <si>
    <t>REQUEST_x000D_
_x000D_
Т-ТЭ | &gt;=25МВт_x000D_
Т-ТЭ | ТСО_x000D_
Резерв мощности</t>
  </si>
  <si>
    <t>Форма 21. Информация о расчетной величине тарифов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тарифов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</si>
  <si>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REQUEST_x000D_
_x000D_
Т-ТН_x000D_
Т-передача ТЭ_x000D_
Т-передача ТН</t>
  </si>
  <si>
    <t>Форма 22. Информация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"О теплоснабжении" &lt;1&gt;</t>
  </si>
  <si>
    <t>REQUEST_x000D_
_x000D_
Т-гор.вода</t>
  </si>
  <si>
    <t>Форма 23. Информация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</si>
  <si>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</si>
  <si>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 xml:space="preserve">Форма 24. Информация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23.4 Федерального закона "О теплоснабжении" </t>
  </si>
  <si>
    <t>PRICE_x000D_
_x000D_
ХВС. Т-пит_x000D_
ХВС. Т-тех_x000D_
ХВС. Т-транс_x000D_
ХВС. Т-подвоз</t>
  </si>
  <si>
    <t>Форма 4. Информация о тарифах в сфере холодного водоснабжения на товары (услуги) организации холодного водоснабжения, подлежащих регулированию (об установленных тарифах на питьевую воду (питьевое водоснабжение); об установленных тарифах на техническую воду; об установленных тарифах на транспортировку воды; об установленных тарифах на подвоз воды))</t>
  </si>
  <si>
    <t>PRICE_x000D_
_x000D_
ХВС. Т-подкл</t>
  </si>
  <si>
    <t>Форма 5. Информация о величинах тарифов на подключение (технологическое присоединение) к централизованной системе холодного водоснабжения &lt;1&gt;</t>
  </si>
  <si>
    <t>REQUEST_x000D_
_x000D_
ХВС. Т-пит_x000D_
ХВС. Т-тех_x000D_
ХВС. Т-транс_x000D_
ХВС. Т-подвоз</t>
  </si>
  <si>
    <t>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t>
  </si>
  <si>
    <t>REQUEST_x000D_
_x000D_
ХВС. Т-подкл</t>
  </si>
  <si>
    <t>Форма 16.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 &lt;1&gt;</t>
  </si>
  <si>
    <t>PRICE_x000D_
_x000D_
ГВС. Т-гор.вода_x000D_
ГВС. Т-транс</t>
  </si>
  <si>
    <t>Форма 4. Информация о тарифах в сфере горячего водоснабжения на товары (услуги) организации горячего водоснабжения, подлежащих регулированию (об установленных тарифах на горячую воду (горячее водоснабжение); об установленных тарифах на транспортировку горячей воды) &lt;1&gt;</t>
  </si>
  <si>
    <t>PRICE_x000D_
_x000D_
ГВС. Т-подкл</t>
  </si>
  <si>
    <t>Форма 5. Информация об установленных тарифах на подключение (технологическое присоединение) к централизованной системе горячего водоснабжения &lt;1&gt;</t>
  </si>
  <si>
    <t>REQUEST_x000D_
_x000D_
ГВС. Т-гор.вода_x000D_
ГВС. Т-транс</t>
  </si>
  <si>
    <t>Форма 16. Информация о предложении расчетной величины тарифов организации горячего водоснабжения об установлении тарифов в сфере горячего водоснабжения на очередной период регулирования &lt;1&gt;</t>
  </si>
  <si>
    <t>REQUEST_x000D_
_x000D_
ГВС. Т-подкл</t>
  </si>
  <si>
    <t>Форма 17. Информация о предложении расчетной величины тарифов на подключение (технологическое присоединение) к централизованной системе горячего водоснабжения &lt;1&gt;</t>
  </si>
  <si>
    <t>PRICE_x000D_
_x000D_
ВО. Т-во_x000D_
ВО. Т-транс</t>
  </si>
  <si>
    <t>Форма 3. Информация о тарифах в сфере водоотведения на товары (услуги) организации водоотведения, подлежащих регулированию (об установленных тарифах на водоотведение; об установленных тарифах на транспортировку сточных вод) &lt;1&gt;</t>
  </si>
  <si>
    <t>PRICE_x000D_
_x000D_
ВО. Т-подкл</t>
  </si>
  <si>
    <t>Форма 4.  Информация об установленных тарифах на подключение (технологическое присоединение) к централизованной системе водоотведения &lt;1&gt;</t>
  </si>
  <si>
    <t>REQUEST_x000D_
_x000D_
ВО. Т-во_x000D_
ВО. Т-транс</t>
  </si>
  <si>
    <t>Форма 16. Информация о предложении расчетной величины тарифов организации водоотведения об установлении тарифов в сфере водоотведения на очередной период регулирования &lt;1&gt;</t>
  </si>
  <si>
    <t>REQUEST_x000D_
_x000D_
ВО. Т-подкл</t>
  </si>
  <si>
    <t>Форма 17. Информация о предложении расчетной величины тарифов на подключение к централизованной системе водоотведения &lt;1&gt;</t>
  </si>
  <si>
    <t>Сведения о закупках</t>
  </si>
  <si>
    <t>27</t>
  </si>
  <si>
    <t>Форма 19.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</si>
  <si>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11.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 содержит сведения о правовых актах, регламентирующих правила закупки (положение о закупке) в организации, о месте их размещения, а также сведения о планировании закупок и результатах их проведения</t>
  </si>
  <si>
    <t>Порядок ТП</t>
  </si>
  <si>
    <t>Форма 18.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 &lt;1&gt;</t>
  </si>
  <si>
    <t>19</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</si>
  <si>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</si>
  <si>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</si>
  <si>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</si>
  <si>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</si>
  <si>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</si>
  <si>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</si>
  <si>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</si>
  <si>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</si>
  <si>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</si>
  <si>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</si>
  <si>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</si>
  <si>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25</t>
  </si>
  <si>
    <t>24</t>
  </si>
  <si>
    <t>45</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</si>
  <si>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</si>
  <si>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</si>
  <si>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</si>
  <si>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</si>
  <si>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</si>
  <si>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</si>
  <si>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</si>
  <si>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</si>
  <si>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</si>
  <si>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</si>
  <si>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</si>
  <si>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</si>
  <si>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</si>
  <si>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</si>
  <si>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</si>
  <si>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</si>
  <si>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</si>
  <si>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</si>
  <si>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BALANCE</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</si>
  <si>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</si>
  <si>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</si>
  <si>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</si>
  <si>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</si>
  <si>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</si>
  <si>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</si>
  <si>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</si>
  <si>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</si>
  <si>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</si>
  <si>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</si>
  <si>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</si>
  <si>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2.1</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</si>
  <si>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</si>
  <si>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</si>
  <si>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</si>
  <si>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</si>
  <si>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</si>
  <si>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</si>
  <si>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</si>
  <si>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</si>
  <si>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2.4</t>
  </si>
  <si>
    <t>Расходы на холодную воду, получаемую с применением собственных источников водозабора (скважин) и используемую для горячего водоснабжения</t>
  </si>
  <si>
    <t>2.5</t>
  </si>
  <si>
    <t>Расходы на приобретаемую электрическую энергию (мощность), используемую в технологическом процессе</t>
  </si>
  <si>
    <t>6.1</t>
  </si>
  <si>
    <t>2.3.1</t>
  </si>
  <si>
    <t>2.2.1</t>
  </si>
  <si>
    <t>2.5.1</t>
  </si>
  <si>
    <t>Средневзвешенная стоимость 1 кВт.ч (с учетом мощности)</t>
  </si>
  <si>
    <t>6.2</t>
  </si>
  <si>
    <t>2.3.2</t>
  </si>
  <si>
    <t>2.2.2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</si>
  <si>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</si>
  <si>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</si>
  <si>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</si>
  <si>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</si>
  <si>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2.6</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</si>
  <si>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</si>
  <si>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</si>
  <si>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</si>
  <si>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</si>
  <si>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2.4.1</t>
  </si>
  <si>
    <t>Расходы на оплату труда основного производственного персонала</t>
  </si>
  <si>
    <t>9.2</t>
  </si>
  <si>
    <t>2.6.2</t>
  </si>
  <si>
    <t>2.4.2</t>
  </si>
  <si>
    <t>Страховые взносы на обязательное социальное страхование, выплачиваемые из фонда оплаты труда основного производственного персонала</t>
  </si>
  <si>
    <t>2.7</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</si>
  <si>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</si>
  <si>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</si>
  <si>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</si>
  <si>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</si>
  <si>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</si>
  <si>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</si>
  <si>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</si>
  <si>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</si>
  <si>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</si>
  <si>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</si>
  <si>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2.8</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</si>
  <si>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</si>
  <si>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</si>
  <si>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</si>
  <si>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</si>
  <si>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</si>
  <si>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</si>
  <si>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</si>
  <si>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2.9</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</si>
  <si>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</si>
  <si>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</si>
  <si>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</si>
  <si>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</si>
  <si>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</si>
  <si>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</si>
  <si>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</si>
  <si>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</si>
  <si>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</si>
  <si>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</si>
  <si>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</si>
  <si>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</si>
  <si>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</si>
  <si>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</si>
  <si>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</si>
  <si>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</si>
  <si>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</si>
  <si>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</si>
  <si>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</si>
  <si>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</si>
  <si>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</si>
  <si>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</si>
  <si>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</si>
  <si>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</si>
  <si>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</si>
  <si>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</si>
  <si>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</si>
  <si>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</si>
  <si>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</si>
  <si>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</si>
  <si>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</si>
  <si>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</si>
  <si>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</si>
  <si>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</si>
  <si>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</si>
  <si>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</si>
  <si>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</si>
  <si>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</si>
  <si>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</si>
  <si>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</si>
  <si>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</si>
  <si>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</si>
  <si>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</si>
  <si>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</si>
  <si>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</si>
  <si>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</si>
  <si>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</si>
  <si>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</si>
  <si>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</si>
  <si>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</si>
  <si>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</si>
  <si>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Указывается общая сумма чистой прибыли, полученной от регулируемого вида деятельности.</t>
  </si>
  <si>
    <t>4.1</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</si>
  <si>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</si>
  <si>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в том числе:</t>
  </si>
  <si>
    <t>Указывается общее изменение стоимости основных фондов.</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</si>
  <si>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</si>
  <si>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</si>
  <si>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</si>
  <si>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1.1</t>
  </si>
  <si>
    <t>5.1.1</t>
  </si>
  <si>
    <t>4.1.1</t>
  </si>
  <si>
    <t>Изменения стоимости основных фондов за счет их ввода в эксплуатацию</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</si>
  <si>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</si>
  <si>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</si>
  <si>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1.2</t>
  </si>
  <si>
    <t>5.1.2</t>
  </si>
  <si>
    <t>4.1.2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</si>
  <si>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</si>
  <si>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</si>
  <si>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</si>
  <si>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4.2</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</si>
  <si>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</si>
  <si>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</si>
  <si>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</si>
  <si>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</si>
  <si>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</si>
  <si>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Годовая бухгалтерская (финансовая) отчетность, включая бухгалтерский баланс и приложения к нему</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</si>
  <si>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</si>
  <si>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</si>
  <si>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</si>
  <si>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</si>
  <si>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</si>
  <si>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</si>
  <si>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</si>
  <si>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</si>
  <si>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</si>
  <si>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</si>
  <si>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</si>
  <si>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</si>
  <si>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</si>
  <si>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</si>
  <si>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</si>
  <si>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</si>
  <si>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</si>
  <si>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</si>
  <si>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</si>
  <si>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</si>
  <si>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</si>
  <si>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</si>
  <si>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</si>
  <si>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</si>
  <si>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</si>
  <si>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</si>
  <si>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</si>
  <si>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</si>
  <si>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</si>
  <si>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</si>
  <si>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</si>
  <si>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</si>
  <si>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</si>
  <si>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</si>
  <si>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</si>
  <si>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</si>
  <si>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</si>
  <si>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</si>
  <si>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</si>
  <si>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</si>
  <si>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</si>
  <si>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</si>
  <si>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</si>
  <si>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</si>
  <si>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</si>
  <si>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</si>
  <si>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</si>
  <si>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</si>
  <si>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</si>
  <si>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</si>
  <si>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</si>
  <si>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</si>
  <si>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</si>
  <si>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</si>
  <si>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</si>
  <si>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</si>
  <si>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</si>
  <si>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15</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</si>
  <si>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</si>
  <si>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</si>
  <si>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</si>
  <si>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</si>
  <si>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с</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</si>
  <si>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</si>
  <si>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</si>
  <si>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</si>
  <si>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17</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</si>
  <si>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</si>
  <si>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</si>
  <si>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</si>
  <si>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18</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</si>
  <si>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</si>
  <si>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</si>
  <si>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</si>
  <si>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Указывается ссылка на документ, предварительно загруженный в хранилище файлов ФГИС ЕИАС.</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</si>
  <si>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</si>
  <si>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</si>
  <si>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</si>
  <si>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</si>
  <si>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TERMS</t>
  </si>
  <si>
    <t>27/44</t>
  </si>
  <si>
    <t>26</t>
  </si>
  <si>
    <t>47</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</si>
  <si>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</si>
  <si>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</si>
  <si>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</si>
  <si>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INVEST</t>
  </si>
  <si>
    <t>REQUEST</t>
  </si>
  <si>
    <t>PRICE</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</si>
  <si>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</si>
  <si>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</si>
  <si>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</si>
  <si>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</si>
  <si>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</si>
  <si>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</si>
  <si>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</si>
  <si>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</si>
  <si>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</si>
  <si>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</si>
  <si>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</si>
  <si>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</si>
  <si>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</si>
  <si>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</si>
  <si>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</si>
  <si>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</si>
  <si>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</si>
  <si>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</si>
  <si>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</si>
  <si>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</si>
  <si>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</si>
  <si>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</si>
  <si>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</si>
  <si>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</si>
  <si>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</si>
  <si>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</si>
  <si>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</si>
  <si>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</si>
  <si>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</si>
  <si>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</si>
  <si>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</si>
  <si>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</si>
  <si>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</si>
  <si>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</si>
  <si>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</si>
  <si>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</si>
  <si>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</si>
  <si>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</si>
  <si>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</si>
  <si>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</si>
  <si>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</si>
  <si>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</si>
  <si>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</si>
  <si>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</si>
  <si>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</si>
  <si>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</si>
  <si>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</si>
  <si>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</si>
  <si>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</si>
  <si>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</si>
  <si>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</si>
  <si>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</si>
  <si>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</si>
  <si>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</si>
  <si>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</si>
  <si>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</si>
  <si>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</si>
  <si>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</si>
  <si>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</si>
  <si>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</si>
  <si>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</si>
  <si>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</si>
  <si>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</si>
  <si>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</si>
  <si>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</si>
  <si>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</si>
  <si>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</si>
  <si>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</si>
  <si>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</si>
  <si>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</si>
  <si>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</si>
  <si>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</si>
  <si>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</si>
  <si>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Гкал/ч</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</si>
  <si>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</si>
  <si>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</si>
  <si>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</si>
  <si>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</si>
  <si>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</si>
  <si>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</si>
  <si>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</si>
  <si>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</si>
  <si>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</si>
  <si>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</si>
  <si>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</si>
  <si>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</si>
  <si>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</si>
  <si>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</si>
  <si>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</si>
  <si>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</si>
  <si>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</si>
  <si>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</si>
  <si>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</si>
  <si>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</si>
  <si>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</si>
  <si>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</si>
  <si>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</si>
  <si>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</si>
  <si>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</si>
  <si>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</si>
  <si>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</si>
  <si>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</si>
  <si>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</si>
  <si>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</si>
  <si>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</si>
  <si>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</si>
  <si>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</si>
  <si>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</si>
  <si>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</si>
  <si>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</si>
  <si>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</si>
  <si>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</si>
  <si>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</si>
  <si>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</si>
  <si>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</si>
  <si>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</si>
  <si>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</si>
  <si>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</si>
  <si>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</si>
  <si>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</si>
  <si>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</si>
  <si>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</si>
  <si>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</si>
  <si>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</si>
  <si>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</si>
  <si>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</si>
  <si>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</si>
  <si>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</si>
  <si>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</si>
  <si>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</si>
  <si>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</si>
  <si>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</si>
  <si>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</si>
  <si>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</si>
  <si>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</si>
  <si>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</si>
  <si>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</si>
  <si>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</si>
  <si>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</si>
  <si>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</si>
  <si>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</si>
  <si>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</si>
  <si>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</si>
  <si>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</si>
  <si>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</si>
  <si>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</si>
  <si>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</si>
  <si>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</si>
  <si>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</si>
  <si>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</si>
  <si>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</si>
  <si>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</si>
  <si>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</si>
  <si>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</si>
  <si>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</si>
  <si>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</si>
  <si>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</si>
  <si>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</si>
  <si>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</si>
  <si>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</si>
  <si>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</si>
  <si>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</si>
  <si>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</si>
  <si>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</si>
  <si>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</si>
  <si>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</si>
  <si>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</si>
  <si>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</si>
  <si>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</si>
  <si>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</si>
  <si>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</si>
  <si>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</si>
  <si>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</si>
  <si>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</si>
  <si>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</si>
  <si>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</si>
  <si>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</si>
  <si>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</si>
  <si>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</si>
  <si>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</si>
  <si>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</si>
  <si>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</si>
  <si>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</si>
  <si>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</si>
  <si>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</si>
  <si>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</si>
  <si>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</si>
  <si>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</si>
  <si>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</si>
  <si>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</si>
  <si>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</si>
  <si>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</si>
  <si>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</si>
  <si>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</si>
  <si>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</si>
  <si>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</si>
  <si>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</si>
  <si>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</si>
  <si>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</si>
  <si>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</si>
  <si>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</si>
  <si>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</si>
  <si>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</si>
  <si>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</si>
  <si>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</si>
  <si>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</si>
  <si>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</si>
  <si>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</si>
  <si>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</si>
  <si>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</si>
  <si>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</si>
  <si>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</si>
  <si>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</si>
  <si>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</si>
  <si>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</si>
  <si>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</si>
  <si>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</si>
  <si>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</si>
  <si>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</si>
  <si>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</si>
  <si>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</si>
  <si>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</si>
  <si>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</si>
  <si>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</si>
  <si>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</si>
  <si>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</si>
  <si>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</si>
  <si>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</si>
  <si>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</si>
  <si>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</si>
  <si>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</si>
  <si>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</si>
  <si>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</si>
  <si>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</si>
  <si>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</si>
  <si>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</si>
  <si>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</si>
  <si>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</si>
  <si>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</si>
  <si>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</si>
  <si>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</si>
  <si>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</si>
  <si>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</si>
  <si>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</si>
  <si>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</si>
  <si>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</si>
  <si>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</si>
  <si>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</si>
  <si>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</si>
  <si>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</si>
  <si>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</si>
  <si>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</si>
  <si>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</si>
  <si>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</si>
  <si>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</si>
  <si>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</si>
  <si>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</si>
  <si>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</si>
  <si>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</si>
  <si>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</si>
  <si>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</si>
  <si>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</si>
  <si>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</si>
  <si>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</si>
  <si>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</si>
  <si>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</si>
  <si>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</si>
  <si>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</si>
  <si>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</si>
  <si>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</si>
  <si>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</si>
  <si>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</si>
  <si>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</si>
  <si>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</si>
  <si>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</si>
  <si>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</si>
  <si>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</si>
  <si>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</si>
  <si>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</si>
  <si>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</si>
  <si>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</si>
  <si>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</si>
  <si>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</si>
  <si>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</si>
  <si>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</si>
  <si>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</si>
  <si>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</si>
  <si>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</si>
  <si>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тыс. Гкал</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</si>
  <si>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</si>
  <si>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</si>
  <si>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</si>
  <si>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</si>
  <si>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Еврейская автономная область</t>
  </si>
  <si>
    <t>START_FILL</t>
  </si>
  <si>
    <t>тариф с НДС организаций-плательщиков НДС</t>
  </si>
  <si>
    <t>тариф организаций не являющихся плательщиками НДС</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</si>
  <si>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</si>
  <si>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</si>
  <si>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</si>
  <si>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</si>
  <si>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Забайкальский край</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</si>
  <si>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</si>
  <si>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</si>
  <si>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</si>
  <si>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</si>
  <si>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</si>
  <si>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</si>
  <si>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</si>
  <si>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</si>
  <si>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</si>
  <si>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Ивановская область</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</si>
  <si>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</si>
  <si>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</si>
  <si>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</si>
  <si>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</si>
  <si>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</si>
  <si>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</si>
  <si>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</si>
  <si>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</si>
  <si>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</si>
  <si>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</si>
  <si>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</si>
  <si>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</si>
  <si>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Иркутская область</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</si>
  <si>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</si>
  <si>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</si>
  <si>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</si>
  <si>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</si>
  <si>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</si>
  <si>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</si>
  <si>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в т.ч. подвоз воды</t>
  </si>
  <si>
    <t>Горячее водоснабжение</t>
  </si>
  <si>
    <t>Водоотведение, в том числе очистка сточных вод, обращение с осадком сточных вод</t>
  </si>
  <si>
    <t>Захоронение твердых коммунальных отходов</t>
  </si>
  <si>
    <t>Кабардино-Балкарская республика</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</si>
  <si>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</si>
  <si>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</si>
  <si>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</si>
  <si>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</si>
  <si>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Подключение (технологическое присоединение) к централизованной системе водоснабжения</t>
  </si>
  <si>
    <t>Транспортировка</t>
  </si>
  <si>
    <t>Прием и транспортировка сточных вод</t>
  </si>
  <si>
    <t>Обезвреживание твердых коммунальных отходов</t>
  </si>
  <si>
    <t>Калининградская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</si>
  <si>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</si>
  <si>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</si>
  <si>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</si>
  <si>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</si>
  <si>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</si>
  <si>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в т.ч. транспортировка воды, включая распределение воды</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</si>
  <si>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</si>
  <si>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</si>
  <si>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</si>
  <si>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Калужская область</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</si>
  <si>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</si>
  <si>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</si>
  <si>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</si>
  <si>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</si>
  <si>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Камчатский край</t>
  </si>
  <si>
    <t>21</t>
  </si>
  <si>
    <t>снижение аварийности</t>
  </si>
  <si>
    <t>кислородно-водородная смесь</t>
  </si>
  <si>
    <t>Передача. Тепловая энергия</t>
  </si>
  <si>
    <t>Энергетическая утилизация</t>
  </si>
  <si>
    <t>Карачаево-Черкесская республика</t>
  </si>
  <si>
    <t>22</t>
  </si>
  <si>
    <t>улучшение качества</t>
  </si>
  <si>
    <t>электроэнергия (НН)</t>
  </si>
  <si>
    <t>тыс кВт.ч</t>
  </si>
  <si>
    <t>Передача. Теплоноситель</t>
  </si>
  <si>
    <t>Кемеровская область</t>
  </si>
  <si>
    <t>23</t>
  </si>
  <si>
    <t>повышение надёжности и энергетической эффективности</t>
  </si>
  <si>
    <t>электроэнергия (СН1)</t>
  </si>
  <si>
    <t>Сбыт. Тепловая энергия</t>
  </si>
  <si>
    <t>Кировская область</t>
  </si>
  <si>
    <t>CROSSES</t>
  </si>
  <si>
    <t>электроэнергия (СН2)</t>
  </si>
  <si>
    <t>Сбыт. Теплоноситель</t>
  </si>
  <si>
    <t>Костромская область</t>
  </si>
  <si>
    <t>×</t>
  </si>
  <si>
    <t>электроэнергия (ВН)</t>
  </si>
  <si>
    <t>Подключение (технологическое присоединение) к системе теплоснабжения</t>
  </si>
  <si>
    <t>Краснодарский край</t>
  </si>
  <si>
    <t>Текущая дата</t>
  </si>
  <si>
    <t>PT_GROUP_CONSUMER_LIST</t>
  </si>
  <si>
    <t>мощность</t>
  </si>
  <si>
    <t>тыс кВт</t>
  </si>
  <si>
    <t>Поддержание резервной тепловой мощности при отсутствии потребления тепловой энергии</t>
  </si>
  <si>
    <t>Красноярский край</t>
  </si>
  <si>
    <t>Организация</t>
  </si>
  <si>
    <t>25.07.2023 22:51:32</t>
  </si>
  <si>
    <t>Курганская область</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</si>
  <si>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</si>
  <si>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</si>
  <si>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Курская область</t>
  </si>
  <si>
    <t>29</t>
  </si>
  <si>
    <t>население</t>
  </si>
  <si>
    <t xml:space="preserve">  Иные бюджетные средства</t>
  </si>
  <si>
    <t>Ленинградская область</t>
  </si>
  <si>
    <t>Виды деятельности</t>
  </si>
  <si>
    <t>https://appsrv.regportal-tariff.ru/procwsxls/</t>
  </si>
  <si>
    <t>30</t>
  </si>
  <si>
    <t>Липецкая область</t>
  </si>
  <si>
    <t>31</t>
  </si>
  <si>
    <t>Магаданская область</t>
  </si>
  <si>
    <t>32</t>
  </si>
  <si>
    <t>Московская область</t>
  </si>
  <si>
    <t>33</t>
  </si>
  <si>
    <t>PT_SCHEME_LIST</t>
  </si>
  <si>
    <t xml:space="preserve">  Доход от взимания платы за нарушение нормативов по объему и (или) составу сточных вод</t>
  </si>
  <si>
    <t>Мурманская область</t>
  </si>
  <si>
    <t>TEMPLATE_SPHERE</t>
  </si>
  <si>
    <t>34</t>
  </si>
  <si>
    <t xml:space="preserve">  Доход от взимания платы за негативное воздействие на работу централизованной системы водоотведения</t>
  </si>
  <si>
    <t>Ненецкий автономный округ</t>
  </si>
  <si>
    <t>теплоснабжения</t>
  </si>
  <si>
    <t>теплоснабжение</t>
  </si>
  <si>
    <t>35</t>
  </si>
  <si>
    <t>холодного водоснабжения</t>
  </si>
  <si>
    <t>холодное водоснабжение</t>
  </si>
  <si>
    <t>36</t>
  </si>
  <si>
    <t>HEAT_FIN_SRC_VLD_LIST</t>
  </si>
  <si>
    <t>VSNA_FIN_SRC_VLD_LIST</t>
  </si>
  <si>
    <t>VOTV_FIN_SRC_VLD_LIST</t>
  </si>
  <si>
    <t>OTKO_FIN_SRC_VLD_LIST</t>
  </si>
  <si>
    <t>Новгородская область</t>
  </si>
  <si>
    <t>водоотведения</t>
  </si>
  <si>
    <t>водоотведение</t>
  </si>
  <si>
    <t>37</t>
  </si>
  <si>
    <t>Прибыль направляемая на инвестиции</t>
  </si>
  <si>
    <t>Нормативная прибыль</t>
  </si>
  <si>
    <t>Новосибирская область</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</si>
  <si>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</si>
  <si>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</si>
  <si>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</si>
  <si>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</si>
  <si>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Капитальные вложения (инвестиции), финансируемые за счет нормативной прибыли, учитываемой в необходимой валовой выручке</t>
  </si>
  <si>
    <t>Амортизационные отчисления</t>
  </si>
  <si>
    <t>Омская область</t>
  </si>
  <si>
    <t>обращения с твердыми коммунальными отходами</t>
  </si>
  <si>
    <t>39</t>
  </si>
  <si>
    <t>PT_TN_LIST</t>
  </si>
  <si>
    <t>Прочие амортизационные отчисления</t>
  </si>
  <si>
    <t>Амортизационные отчисления за исключением переоценки основных средств и нематериальных активов</t>
  </si>
  <si>
    <t>Кредиты</t>
  </si>
  <si>
    <t>Оренбургская область</t>
  </si>
  <si>
    <t>40</t>
  </si>
  <si>
    <t>Прочие собственные средства</t>
  </si>
  <si>
    <t>Амортизационные отчисления в результате переоценки основных средств и нематериальных активов</t>
  </si>
  <si>
    <t>Займы, предоставленные Фондом ЖКХ за счет средств ФНБ</t>
  </si>
  <si>
    <t>Орловская область</t>
  </si>
  <si>
    <t>41</t>
  </si>
  <si>
    <t>За счет платы за технологическое присоединение</t>
  </si>
  <si>
    <t>Прочие займы</t>
  </si>
  <si>
    <t>Пензенская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</si>
  <si>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</si>
  <si>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</si>
  <si>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</si>
  <si>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</si>
  <si>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</si>
  <si>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</si>
  <si>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Пермский край</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</si>
  <si>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</si>
  <si>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</si>
  <si>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</si>
  <si>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</si>
  <si>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</si>
  <si>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</si>
  <si>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</si>
  <si>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Средства, полученные за счет платы за подключение (технологическое присоединение)</t>
  </si>
  <si>
    <t>Бюджет субъекта РФ</t>
  </si>
  <si>
    <t>Приморский край</t>
  </si>
  <si>
    <t>O</t>
  </si>
  <si>
    <t>44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</si>
  <si>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</si>
  <si>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Бюджет муниципального образования</t>
  </si>
  <si>
    <t>Псковская область</t>
  </si>
  <si>
    <t>Q</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</si>
  <si>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</si>
  <si>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Лизинг</t>
  </si>
  <si>
    <t>Республика Адыгея</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</si>
  <si>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</si>
  <si>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</si>
  <si>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</si>
  <si>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Прочие</t>
  </si>
  <si>
    <t>Республика Алтай</t>
  </si>
  <si>
    <t>T</t>
  </si>
  <si>
    <t>Прочие привлеченные средства</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</si>
  <si>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</si>
  <si>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Республика Башкортостан</t>
  </si>
  <si>
    <t>I</t>
  </si>
  <si>
    <t>Экономия средств, достигнутая регулируемой организацией в результате снижения расходов</t>
  </si>
  <si>
    <t>Республика Бурятия</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</si>
  <si>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</si>
  <si>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</si>
  <si>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</si>
  <si>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Дагестан</t>
  </si>
  <si>
    <t>P</t>
  </si>
  <si>
    <t>50</t>
  </si>
  <si>
    <t>Республика Ингушетия</t>
  </si>
  <si>
    <t>ROIV</t>
  </si>
  <si>
    <t>Показатели, подлежащие раскрытию органами регулирования</t>
  </si>
  <si>
    <t>51</t>
  </si>
  <si>
    <t>Республика Калмыкия</t>
  </si>
  <si>
    <t>52</t>
  </si>
  <si>
    <t>PT_NETS_LIST</t>
  </si>
  <si>
    <t>Республика Карелия</t>
  </si>
  <si>
    <t>53</t>
  </si>
  <si>
    <t>Республика Коми</t>
  </si>
  <si>
    <t>TERRITORY_ID</t>
  </si>
  <si>
    <t>начинать только с 2, остальное по умолчанию</t>
  </si>
  <si>
    <t>54</t>
  </si>
  <si>
    <t>Республика Крым</t>
  </si>
  <si>
    <t>DIFFERENTIATION_ID</t>
  </si>
  <si>
    <t>55</t>
  </si>
  <si>
    <t>Республика Марий Эл</t>
  </si>
  <si>
    <t>IP_ID</t>
  </si>
  <si>
    <t>56</t>
  </si>
  <si>
    <t>Республика Мордовия</t>
  </si>
  <si>
    <t>начинать только с 30, остальное по умолчанию</t>
  </si>
  <si>
    <t>57</t>
  </si>
  <si>
    <t>PT_DIAMETERS_LIST</t>
  </si>
  <si>
    <t>Республика Саха (Якутия)</t>
  </si>
  <si>
    <t>VDET_ID</t>
  </si>
  <si>
    <t>58</t>
  </si>
  <si>
    <t>Республика Северная Осетия-Алания</t>
  </si>
  <si>
    <t>NTAR_ID</t>
  </si>
  <si>
    <t>59</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</si>
  <si>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</si>
  <si>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Республика Татарстан</t>
  </si>
  <si>
    <t>Средства, полученные регулируемой организацией в виде платы за негативное воздействие на работу централизованной системы водоотведения</t>
  </si>
  <si>
    <t>Республика Тыва</t>
  </si>
  <si>
    <t>CS_ID</t>
  </si>
  <si>
    <t>Республика Хакасия</t>
  </si>
  <si>
    <t>IST_TE_ID</t>
  </si>
  <si>
    <t>Ростовская область</t>
  </si>
  <si>
    <t>Рязанская область</t>
  </si>
  <si>
    <t>PT_LOAD_LIST</t>
  </si>
  <si>
    <t>Самарская область</t>
  </si>
  <si>
    <t>Саратовская область</t>
  </si>
  <si>
    <t>HEAT_IP_EVENT_GROUP_LIST</t>
  </si>
  <si>
    <t>VSNA_IP_EVENT_GROUP_LIST</t>
  </si>
  <si>
    <t>VOTV_IP_EVENT_GROUP_LIST</t>
  </si>
  <si>
    <t>OTKO_IP_EVENT_GROUP_LIST</t>
  </si>
  <si>
    <t>Сахалинская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</si>
  <si>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</si>
  <si>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</si>
  <si>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</si>
  <si>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</si>
  <si>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Свердловская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</si>
  <si>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</si>
  <si>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</si>
  <si>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</si>
  <si>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</si>
  <si>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Смоленская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</si>
  <si>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</si>
  <si>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</si>
  <si>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</si>
  <si>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</si>
  <si>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Ставропольский край</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</si>
  <si>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</si>
  <si>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</si>
  <si>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Тамбовская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</si>
  <si>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</si>
  <si>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</si>
  <si>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</si>
  <si>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</si>
  <si>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Тверская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</si>
  <si>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</si>
  <si>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</si>
  <si>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</si>
  <si>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</si>
  <si>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Томская область</t>
  </si>
  <si>
    <t>PT_DIAMETERS_2_LIST</t>
  </si>
  <si>
    <t>Мероприятия по подготовке проектной документации</t>
  </si>
  <si>
    <t>Тульская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</si>
  <si>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</si>
  <si>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</si>
  <si>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</si>
  <si>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Тюменская область</t>
  </si>
  <si>
    <t>Удмуртская республика</t>
  </si>
  <si>
    <t>Ульяновская область</t>
  </si>
  <si>
    <t>HEAT_IP_EVENT_SUBGROUP_1_LIST</t>
  </si>
  <si>
    <t>VSNA_IP_EVENT_SUBGROUP_1_LIST</t>
  </si>
  <si>
    <t>VOTV_IP_EVENT_SUBGROUP_1_LIST</t>
  </si>
  <si>
    <t>Хабаровский край</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</si>
  <si>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</si>
  <si>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</si>
  <si>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</si>
  <si>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Ханты-Мансийский автономный округ</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</si>
  <si>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</si>
  <si>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</si>
  <si>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</si>
  <si>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Челябинская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</si>
  <si>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</si>
  <si>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</si>
  <si>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</si>
  <si>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Чеченская республика</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</si>
  <si>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</si>
  <si>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</si>
  <si>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</si>
  <si>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Чувашская республика</t>
  </si>
  <si>
    <t>TYPE_TKO_LIST</t>
  </si>
  <si>
    <t>Чукотский автономный округ</t>
  </si>
  <si>
    <t>несортированные</t>
  </si>
  <si>
    <t>Ямало-Ненецкий автономный округ</t>
  </si>
  <si>
    <t>сортированные</t>
  </si>
  <si>
    <t>HEAT_IP_EVENT_SUBGROUP_3_LIST</t>
  </si>
  <si>
    <t>VSNA_IP_EVENT_SUBGROUP_3_LIST</t>
  </si>
  <si>
    <t>VOTV_IP_EVENT_SUBGROUP_3_LIST</t>
  </si>
  <si>
    <t>Ярославская область</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</si>
  <si>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</si>
  <si>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</si>
  <si>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</si>
  <si>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</si>
  <si>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</si>
  <si>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</si>
  <si>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</si>
  <si>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CLASS_TKO_LIST</t>
  </si>
  <si>
    <t>II</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</si>
  <si>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</si>
  <si>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</si>
  <si>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</si>
  <si>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</si>
  <si>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</si>
  <si>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</si>
  <si>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</si>
  <si>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</si>
  <si>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</si>
  <si>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</si>
  <si>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</si>
  <si>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</si>
  <si>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HEAT_IP_EVENT_CI_STAGE_LIST</t>
  </si>
  <si>
    <t>VSNA_IP_EVENT_CI_STAGE_LIST</t>
  </si>
  <si>
    <t>VOTV_IP_EVENT_CI_STAGE_LIST</t>
  </si>
  <si>
    <t>OTKO_IP_EVENT_CI_STAGE_LIST</t>
  </si>
  <si>
    <t>производство тепловой энергии</t>
  </si>
  <si>
    <t>на забор и подъём воды</t>
  </si>
  <si>
    <t>на транспортировку сточных вод</t>
  </si>
  <si>
    <t>сбор</t>
  </si>
  <si>
    <t>передача теплоэнергии по региональным тепловым сетям</t>
  </si>
  <si>
    <t>на водоподготовку</t>
  </si>
  <si>
    <t>очистка сточных вод</t>
  </si>
  <si>
    <t>накопление</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</si>
  <si>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</si>
  <si>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</si>
  <si>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</si>
  <si>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</si>
  <si>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</si>
  <si>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утилизация</t>
  </si>
  <si>
    <t>обезвреживание</t>
  </si>
  <si>
    <t>размещение отходов</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</si>
  <si>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</si>
  <si>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</si>
  <si>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</si>
  <si>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</si>
  <si>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</si>
  <si>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</si>
  <si>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</si>
  <si>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Водоотведение</t>
  </si>
  <si>
    <t>Обращение с твердыми коммунальными отходами</t>
  </si>
  <si>
    <t>Прочие объекты и мероприятия, относимые к регулируемому виду деятельности</t>
  </si>
  <si>
    <t>HEAT_PT_SCHEME</t>
  </si>
  <si>
    <t>et_CHANGE_INFO</t>
  </si>
  <si>
    <t>et_Comm</t>
  </si>
  <si>
    <t>et_TERRITORY_AREA, 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</si>
  <si>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</si>
  <si>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</si>
  <si>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</si>
  <si>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</si>
  <si>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</si>
  <si>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</si>
  <si>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</si>
  <si>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</si>
  <si>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</si>
  <si>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</si>
  <si>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</si>
  <si>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</si>
  <si>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</si>
  <si>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</si>
  <si>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</si>
  <si>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</si>
  <si>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</si>
  <si>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</si>
  <si>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</si>
  <si>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</si>
  <si>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</si>
  <si>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</si>
  <si>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</si>
  <si>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NOTSHOW</t>
  </si>
  <si>
    <t>Территория оказания услуг</t>
  </si>
  <si>
    <t>Централизованная система</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</si>
  <si>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</si>
  <si>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</si>
  <si>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</si>
  <si>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отсутствует</t>
  </si>
  <si>
    <t>Добавить поставщика</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</si>
  <si>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</si>
  <si>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</si>
  <si>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et_B_FHD20_1_HEAT</t>
  </si>
  <si>
    <t>et_B_FHD20_2, _3, _4</t>
  </si>
  <si>
    <t>Итого по поставщику, в том числе</t>
  </si>
  <si>
    <t>х</t>
  </si>
  <si>
    <t>Добавить товар/услугу</t>
  </si>
  <si>
    <t>Добавить способ</t>
  </si>
  <si>
    <t>et_DIFFERENTIATION_TARIFF(_etc)</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</si>
  <si>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</si>
  <si>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</si>
  <si>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</si>
  <si>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</si>
  <si>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et_DIFFERENTIATION_TARIFF_NOT_HEAT(_etc)</t>
  </si>
  <si>
    <t>et_DIFFERENTIATION_TKO(_etc)</t>
  </si>
  <si>
    <t>Добавить класс ТКО</t>
  </si>
  <si>
    <t>Добавить вид ТКО</t>
  </si>
  <si>
    <t>Добавить технологическую особенность</t>
  </si>
  <si>
    <t>1.1.1</t>
  </si>
  <si>
    <t>Добавить описание формы публичного договора</t>
  </si>
  <si>
    <t>1.2.1</t>
  </si>
  <si>
    <t>Добавить описание договора</t>
  </si>
  <si>
    <t>1.3</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</si>
  <si>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</si>
  <si>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</si>
  <si>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</si>
  <si>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2.0</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</si>
  <si>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</si>
  <si>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</si>
  <si>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</si>
  <si>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2.1.1</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</si>
  <si>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</si>
  <si>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</si>
  <si>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</si>
  <si>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</si>
  <si>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</si>
  <si>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</si>
  <si>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</si>
  <si>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</si>
  <si>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</si>
  <si>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</si>
  <si>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</si>
  <si>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</si>
  <si>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</si>
  <si>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</si>
  <si>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</si>
  <si>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</si>
  <si>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</si>
  <si>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</si>
  <si>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</si>
  <si>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</si>
  <si>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</si>
  <si>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</si>
  <si>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</si>
  <si>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</si>
  <si>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</si>
  <si>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</si>
  <si>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</si>
  <si>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</si>
  <si>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</si>
  <si>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</si>
  <si>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</si>
  <si>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</si>
  <si>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</si>
  <si>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</si>
  <si>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</si>
  <si>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</si>
  <si>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</si>
  <si>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</si>
  <si>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</si>
  <si>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</si>
  <si>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</si>
  <si>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</si>
  <si>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</si>
  <si>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</si>
  <si>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</si>
  <si>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</si>
  <si>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</si>
  <si>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</si>
  <si>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</si>
  <si>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</si>
  <si>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</si>
  <si>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&lt;1&gt;</t>
  </si>
  <si>
    <t>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</si>
  <si>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</si>
  <si>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 </t>
  </si>
  <si>
    <t>По этой форме раскрывается информация о расчетной величине тарифов в сфере теплоснабжения на товары (услуги) в случаях, указанных в частях 12.1 - 12.4 статьи 10 Федерального закона "О теплоснабжении"</t>
  </si>
  <si>
    <t>В случае представления регулируемой организацией по своей инициативе в исполнительный орган субъекта Российской Федерации в области государственного регулирования цен (тарифов) дополнительных документов и материалов к предложению об установлении цен (тарифов) в сфере теплоснабжения указанная в абзаце первом настоящего пункта информация в части, содержащейся в таких дополнительных документах и материалах, раскрывается регулируемой организацией в течение 7 дней со дня их представления</t>
  </si>
  <si>
    <t>Период действия</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</si>
  <si>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</si>
  <si>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</si>
  <si>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Для каждого вида тарифа в сфере теплоснабжения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</si>
  <si>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При размещении информации по данной форме дополнительно указываются: наименование органа регулирования тарифов, принявшего решение об утверждении установлении цены (тарифа) в сфере теплоснабжения, реквизиты (дата и номер) решения документа об установлении цены (тарифа), источник официального опубликования решения об установлении цены (тарифа) в сфере теплоснабжения.</t>
  </si>
  <si>
    <t>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 а также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t>
  </si>
  <si>
    <t>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t>
  </si>
  <si>
    <t>По данной форме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</si>
  <si>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</si>
  <si>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</si>
  <si>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</si>
  <si>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</si>
  <si>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</si>
  <si>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</si>
  <si>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</si>
  <si>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</si>
  <si>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</si>
  <si>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</si>
  <si>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</si>
  <si>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</si>
  <si>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t>
  </si>
  <si>
    <t>По данной форме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</si>
  <si>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</si>
  <si>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</si>
  <si>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</si>
  <si>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</si>
  <si>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</si>
  <si>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</si>
  <si>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</si>
  <si>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</si>
  <si>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</si>
  <si>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Подключаемая тепловая нагрузка,_x000D_
куб.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</si>
  <si>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</si>
  <si>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</si>
  <si>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</si>
  <si>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с НДС</t>
  </si>
  <si>
    <t>без НДС</t>
  </si>
  <si>
    <t>При размещении информации по данной форме дополнительно указываются: наименование органа регулирования тарифов,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t>
  </si>
  <si>
    <t>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23.4 Федерального закона № 190-ФЗ.</t>
  </si>
  <si>
    <t>Период действия тарифа</t>
  </si>
  <si>
    <t>Добавить период</t>
  </si>
  <si>
    <t>Добавить источник тепловой энергии</t>
  </si>
  <si>
    <t>Добавить наименование системы теплоснабжения</t>
  </si>
  <si>
    <t>pt_vtar_3</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</si>
  <si>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</si>
  <si>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</si>
  <si>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</si>
  <si>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</si>
  <si>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</si>
  <si>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</si>
  <si>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</si>
  <si>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</si>
  <si>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</si>
  <si>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</si>
  <si>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vertAlign val="superscript"/>
        <sz val="10"/>
        <rFont val="Tahoma"/>
        <family val="2"/>
        <charset val="204"/>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</si>
  <si>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</si>
  <si>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</si>
  <si>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</si>
  <si>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</si>
  <si>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</si>
  <si>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</si>
  <si>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</si>
  <si>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</si>
  <si>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</si>
  <si>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</si>
  <si>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</si>
  <si>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</si>
  <si>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</si>
  <si>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</si>
  <si>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</si>
  <si>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</si>
  <si>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</si>
  <si>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</si>
  <si>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</si>
  <si>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</si>
  <si>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</si>
  <si>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</si>
  <si>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</si>
  <si>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</si>
  <si>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5.3.1</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</si>
  <si>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</si>
  <si>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</si>
  <si>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 xml:space="preserve"> Указываются сведения о закупках, сумма стоимости приобретения товаров и услуг по которым превышает 20% суммы от плановой НВВ на очередной период регулирования.</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</si>
  <si>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</si>
  <si>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Единица измерения</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</si>
  <si>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</si>
  <si>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</si>
  <si>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</si>
  <si>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</si>
  <si>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</si>
  <si>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</si>
  <si>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</si>
  <si>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</si>
  <si>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</si>
  <si>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строках 4.1 – 4.3 указывается в случае, если организация имеет статус единой теплоснабжающей организации.</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</si>
  <si>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</si>
  <si>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</si>
  <si>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</si>
  <si>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</si>
  <si>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4.3</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</si>
  <si>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</si>
  <si>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руб.</t>
  </si>
  <si>
    <t>Доля числа исполненных в срок договоров о подключении</t>
  </si>
  <si>
    <t>%</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</si>
  <si>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</si>
  <si>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</si>
  <si>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</si>
  <si>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</si>
  <si>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ед</t>
  </si>
  <si>
    <t>5.0</t>
  </si>
  <si>
    <t>Добавить систему</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</si>
  <si>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</si>
  <si>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</si>
  <si>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</si>
  <si>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</si>
  <si>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</si>
  <si>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</si>
  <si>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</si>
  <si>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</si>
  <si>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</si>
  <si>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</si>
  <si>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</si>
  <si>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</si>
  <si>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</si>
  <si>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</si>
  <si>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</si>
  <si>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Форма 13.1. Информация о выводе объектов теплоснабжения из эксплуатации и основаниях ограничения, прекращения подачи тепловой энергии потребителям</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</si>
  <si>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</si>
  <si>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</si>
  <si>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</si>
  <si>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</si>
  <si>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</si>
  <si>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</si>
  <si>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</si>
  <si>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</si>
  <si>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</si>
  <si>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</si>
  <si>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</si>
  <si>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</si>
  <si>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</si>
  <si>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r>
      <t>Форма 4.10.1 Информация о предложении регулируемой организацией об установлении тарифов в сфере теплоснабжения на очередной период регулирования</t>
    </r>
    <r>
      <rPr>
        <vertAlign val="superscript"/>
        <sz val="10"/>
        <rFont val="Tahoma"/>
        <family val="2"/>
        <charset val="204"/>
      </rPr>
      <t>1</t>
    </r>
  </si>
  <si>
    <t>Описание параметров -&gt;</t>
  </si>
  <si>
    <t>Период действия тарифов</t>
  </si>
  <si>
    <t>по</t>
  </si>
  <si>
    <t>Копия инвестиционной программы, утвержденной в установленном законодательством Российской Федерации порядке, а до ее утверждения копия проекта инвестиционной программы</t>
  </si>
  <si>
    <t>Заполняется в случае наличия инвестиционной программы (проекта инвестиционной программы) в отчетном периоде._x000D_
В колонке «Информация» указывается наименование инвестиционной программы._x000D_
В колонке «Ссылка на документ» указывается ссылка на документ, предварительно загруженный в хранилище файлов ФГИС ЕИАС.</t>
  </si>
  <si>
    <t>Предлагаемый метод регулирования</t>
  </si>
  <si>
    <t>Значение в колонке «Вид тарифа» выбирается из перечня видов тарифов в сфере теплоснабжения, предусмотренных законодательством в сфере теплоснабжения._x000D_
Значение в колонке «Информация» выбирается из перечня: Метод экономически обоснованных расходов (затрат); Метод индексации установленных тарифов; Метод обеспечения доходности инвестированного капитала; Метод сравнения аналогов._x000D_
Даты начала и окончания периода действия тарифов указывается в виде «ДД.ММ.ГГГГ»._x000D_
В случае дифференциации предлагаемых методов регулирования видам тарифов и (или) по периодам действия тарифов информация по каждому из них указывается в отдельной строке.</t>
  </si>
  <si>
    <t>Добавить ВТ</t>
  </si>
  <si>
    <t>Долгосрочные параметры регулирования (в случае если их установление предусмотрено выбранным методом регулирования)</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</si>
  <si>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</si>
  <si>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</si>
  <si>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Значение в колонке «Вид тарифа» выбирается из перечня видов тарифов в сфере теплоснабжения, предусмотренных законодательством в сфере теплоснабжения._x000D_
Даты начала и окончания периода действия тарифов указывается в виде «ДД.ММ.ГГГГ»._x000D_
Величина необходимой валовой выручки указывается в колонке «Информация» в тыс. руб._x000D_
В случае дифференциации необходимой валовой выручки по видам тарифов и (или) по периодам действия тарифов информация указывается в отдельных строках.</t>
  </si>
  <si>
    <t>Годовой объем полезного отпуска тепловой энергии (теплоносителя)</t>
  </si>
  <si>
    <t>Значение в колонке «Вид тарифа» выбирается из перечня видов тарифов в сфере теплоснабжения, предусмотренных законодательством в сфере теплоснабжения_x000D_
Даты начала и окончания периода действия тарифов указывается в виде «ДД.ММ.ГГГГ»._x000D_
Величина годового объема полезного отпуска тепловой энергии (теплоносителя) указывается в колонке «Информация» в тыс. Гкал._x000D_
В случае дифференциации объема полезного отпуска тепловой энергии (теплоносителя) по видам тарифов и (или) по периодам действия тарифов информация указывается в отдельных строках.</t>
  </si>
  <si>
    <t xml:space="preserve">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 </t>
  </si>
  <si>
    <t>Значение в колонке «Вид тарифа» выбирается из перечня видов тарифов в сфере теплоснабжения, предусмотренных законодательством в сфере теплоснабжения._x000D_
Даты начала и окончания периода действия тарифов указывается в виде «ДД.ММ.ГГГГ»._x000D_
Величина недополученных доходов регулируемой организации указывается в колонке «Информация» в тыс. руб. _x000D_
В случае отсутствия недополученных доходов регулируемой организацией, исчисленных в соответствии с законодательством в сфере теплоснабжения, указывается значение 0._x000D_
В случае дифференциации недополученных доходов регулируемой организацией по видам тарифов и (или) по периодам действия тарифов информация указывается в отдельных строках.</t>
  </si>
  <si>
    <t>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t>
  </si>
  <si>
    <t>7.1</t>
  </si>
  <si>
    <t>Значение в колонке «Вид тарифа» выбирается из перечня видов тарифов в сфере теплоснабжения, предусмотренных законодательством в сфере теплоснабжения._x000D_
Даты начала и окончания периода действия тарифов указывается в виде «ДД.ММ.ГГГГ»._x000D_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_x000D_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теплоснабжения, указывается значение 0._x000D_
В случае дифференциации экономически обоснованных расходов по видам тарифов и (или) по периодам действия тарифов информация указывается в отдельных строках.</t>
  </si>
  <si>
    <t>При размещении информации по данной форме дополнительно указывается дата подачи заявления об утверждении тарифа и его номер.</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</si>
  <si>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</si>
  <si>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</si>
  <si>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</si>
  <si>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</si>
  <si>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</si>
  <si>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</si>
  <si>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</si>
  <si>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</si>
  <si>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</si>
  <si>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</si>
  <si>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</si>
  <si>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</si>
  <si>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</si>
  <si>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</si>
  <si>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</si>
  <si>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Для каждого вида тарифа в сфере холодного водоснабжения форма заполняется отдельно. При размещении информации по данной форме дополнительно указываются сведения: наименование органа регулирования тарифов, принявшего решение об установлении тарифа, реквизиты (дата и номер) решения об установлении тарифа, источник официального опубликования решения об установлении тарифа.</t>
  </si>
  <si>
    <t>Для каждого вида тарифа в сфере холодного водоснабжения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</si>
  <si>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</si>
  <si>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</si>
  <si>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</si>
  <si>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</si>
  <si>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</si>
  <si>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</si>
  <si>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</si>
  <si>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</si>
  <si>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</si>
  <si>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</si>
  <si>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</si>
  <si>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</si>
  <si>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</si>
  <si>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</si>
  <si>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</si>
  <si>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</si>
  <si>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</si>
  <si>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</si>
  <si>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При размещении информации по данной форме дополнительно указываются сведения: наименование органа регулирования тарифов, принявшего решение об утверждении установлении тарифа, реквизиты (дата и номер) решения документа об утверждении установлении тарифа, источник официального опубликования решения об установлении тарифа.</t>
  </si>
  <si>
    <t>vt</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</si>
  <si>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</si>
  <si>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</si>
  <si>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</si>
  <si>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</si>
  <si>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</si>
  <si>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</si>
  <si>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</si>
  <si>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</si>
  <si>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</si>
  <si>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Указывается установленная тепловая мощность для источника тепловой энергии.</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</si>
  <si>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</si>
  <si>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</si>
  <si>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</si>
  <si>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</si>
  <si>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</si>
  <si>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p</t>
  </si>
  <si>
    <t>HEAT_P1</t>
  </si>
  <si>
    <t>Добавить вид топлива</t>
  </si>
  <si>
    <t>HOTVSNA_P1</t>
  </si>
  <si>
    <t>тыс. кВт·ч</t>
  </si>
  <si>
    <t>HEAT_P6</t>
  </si>
  <si>
    <t>NOT_HOTVSNA</t>
  </si>
  <si>
    <t>NOT_HEAT_P1</t>
  </si>
  <si>
    <t>передача тепловой энергии</t>
  </si>
  <si>
    <t>сбыт тепловой энергии</t>
  </si>
  <si>
    <t>Добавить прочие расходы</t>
  </si>
  <si>
    <t>HEAT_P2</t>
  </si>
  <si>
    <t>NOT_HEAT_P2</t>
  </si>
  <si>
    <t>https://portal.eias.ru/Portal/DownloadPage.aspx?type=12&amp;guid=e7497b59-7d1c-4408-88b7-aded9968f035</t>
  </si>
  <si>
    <t>COLDVSNA_P1</t>
  </si>
  <si>
    <t>тыс. куб. м</t>
  </si>
  <si>
    <t>HOTVSNA_P2</t>
  </si>
  <si>
    <t>VOTV_P1</t>
  </si>
  <si>
    <t>HEAT_P3</t>
  </si>
  <si>
    <t>ТЭЦ</t>
  </si>
  <si>
    <t>Ленинская котельная</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</si>
  <si>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</si>
  <si>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</si>
  <si>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</si>
  <si>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</si>
  <si>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</si>
  <si>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</si>
  <si>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</si>
  <si>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</si>
  <si>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</si>
  <si>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</si>
  <si>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</si>
  <si>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</si>
  <si>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</si>
  <si>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</si>
  <si>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</si>
  <si>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</si>
  <si>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</si>
  <si>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</si>
  <si>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</si>
  <si>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</si>
  <si>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</si>
  <si>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</si>
  <si>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</si>
  <si>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6. Информация об основных показателях финансово-хозяйственной деятельности организации _x000D_
в части регулируемых видов деятельности за отчетный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</si>
  <si>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</si>
  <si>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</si>
  <si>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</si>
  <si>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</si>
  <si>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</si>
  <si>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производственные расходы, в том числе:</t>
  </si>
  <si>
    <t>Указывается общая сумма производственных расходов.</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</si>
  <si>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</si>
  <si>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</si>
  <si>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</si>
  <si>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</si>
  <si>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</si>
  <si>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</si>
  <si>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расходы на текущий ремонт</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</si>
  <si>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</si>
  <si>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</si>
  <si>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</si>
  <si>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расходы на оплату труда</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</si>
  <si>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</si>
  <si>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</si>
  <si>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</si>
  <si>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расходы на амортизацию основных средств</t>
  </si>
  <si>
    <t>расходы на амортизацию нематериальных активов</t>
  </si>
  <si>
    <t>расходы на арендную плату</t>
  </si>
  <si>
    <t>расходы на лизинговые платежи</t>
  </si>
  <si>
    <t xml:space="preserve"> расходы на концессионную плату</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</si>
  <si>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</si>
  <si>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</si>
  <si>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</si>
  <si>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</si>
  <si>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</si>
  <si>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</si>
  <si>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</si>
  <si>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</si>
  <si>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</si>
  <si>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изменение стоимости основных фондов за счет их ввода в эксплуатацию</t>
  </si>
  <si>
    <t>изменение стоимости основных фондов за счет их вывода в эксплуатацию</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</si>
  <si>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</si>
  <si>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</si>
  <si>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</si>
  <si>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</si>
  <si>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</si>
  <si>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</si>
  <si>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</si>
  <si>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</si>
  <si>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</si>
  <si>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</si>
  <si>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</si>
  <si>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</si>
  <si>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7. Информация об основных показателях финансово-хозяйственной деятельности организации в отношении деятельности по транспортированию твёрдых коммунальных отходов за отчетный год &lt;1&gt;</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</si>
  <si>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</si>
  <si>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</si>
  <si>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</si>
  <si>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</si>
  <si>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</si>
  <si>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</si>
  <si>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</si>
  <si>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</si>
  <si>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</si>
  <si>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</si>
  <si>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</si>
  <si>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</si>
  <si>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</si>
  <si>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</si>
  <si>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</si>
  <si>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</si>
  <si>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</si>
  <si>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</si>
  <si>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</si>
  <si>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</si>
  <si>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</si>
  <si>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</si>
  <si>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</si>
  <si>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</si>
  <si>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</si>
  <si>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</si>
  <si>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</si>
  <si>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</si>
  <si>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</si>
  <si>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</si>
  <si>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</si>
  <si>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Не утверждены</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</si>
  <si>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</si>
  <si>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</si>
  <si>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</si>
  <si>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</si>
  <si>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</si>
  <si>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</si>
  <si>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</si>
  <si>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</si>
  <si>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</si>
  <si>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</si>
  <si>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</si>
  <si>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</si>
  <si>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</si>
  <si>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</si>
  <si>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</si>
  <si>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</si>
  <si>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</si>
  <si>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</si>
  <si>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</si>
  <si>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</si>
  <si>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</si>
  <si>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</si>
  <si>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</si>
  <si>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</si>
  <si>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</si>
  <si>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</si>
  <si>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</si>
  <si>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</si>
  <si>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</si>
  <si>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</si>
  <si>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</si>
  <si>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</si>
  <si>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</si>
  <si>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</si>
  <si>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</si>
  <si>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</si>
  <si>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</si>
  <si>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</si>
  <si>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</si>
  <si>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</si>
  <si>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</si>
  <si>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</si>
  <si>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</si>
  <si>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</si>
  <si>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</si>
  <si>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</si>
  <si>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</si>
  <si>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</si>
  <si>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</si>
  <si>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</si>
  <si>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</si>
  <si>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</si>
  <si>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</si>
  <si>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</si>
  <si>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</si>
  <si>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</si>
  <si>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</si>
  <si>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</si>
  <si>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</si>
  <si>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</si>
  <si>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</si>
  <si>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</si>
  <si>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</si>
  <si>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</si>
  <si>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</si>
  <si>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</si>
  <si>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</si>
  <si>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</si>
  <si>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</si>
  <si>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</si>
  <si>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</si>
  <si>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</si>
  <si>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</si>
  <si>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</si>
  <si>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</si>
  <si>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</si>
  <si>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</si>
  <si>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</si>
  <si>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</si>
  <si>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</si>
  <si>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</si>
  <si>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</si>
  <si>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</si>
  <si>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</si>
  <si>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</si>
  <si>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</si>
  <si>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</si>
  <si>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</si>
  <si>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</si>
  <si>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</si>
  <si>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</si>
  <si>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</si>
  <si>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</si>
  <si>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</si>
  <si>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</si>
  <si>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</si>
  <si>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</si>
  <si>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</si>
  <si>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</si>
  <si>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</si>
  <si>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</si>
  <si>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</si>
  <si>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</si>
  <si>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</si>
  <si>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</si>
  <si>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Информация об инвестиционных программах регулируемой организации и отчетах об их исполнении</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</si>
  <si>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</si>
  <si>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</si>
  <si>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</si>
  <si>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</si>
  <si>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</si>
  <si>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</si>
  <si>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</si>
  <si>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</si>
  <si>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</si>
  <si>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</si>
  <si>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</si>
  <si>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</si>
  <si>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</si>
  <si>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</si>
  <si>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</si>
  <si>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</si>
  <si>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</si>
  <si>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</si>
  <si>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</si>
  <si>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</si>
  <si>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</si>
  <si>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Инвестиционная программа № 329_318/21П/од от 29.10.2021 ООО "Автозаводская ТЭЦ" в сфере теплоснабжения в отношении объектов, на территории городского округа Нижний Новгород на 2022-2026 годы</t>
  </si>
  <si>
    <t>Министерство энергетики и жилищно-коммунального хозяйства 
Нижегородской области</t>
  </si>
  <si>
    <t>Региональная служба по тарифам Нижегородской области</t>
  </si>
  <si>
    <t>01.01.2022</t>
  </si>
  <si>
    <t>31.12.2026</t>
  </si>
  <si>
    <t>ip_44</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</si>
  <si>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</si>
  <si>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</si>
  <si>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</si>
  <si>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</si>
  <si>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</si>
  <si>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</si>
  <si>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</si>
  <si>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</si>
  <si>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</si>
  <si>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</si>
  <si>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</si>
  <si>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</si>
  <si>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</si>
  <si>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</si>
  <si>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</si>
  <si>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</si>
  <si>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</si>
  <si>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</si>
  <si>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</si>
  <si>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</si>
  <si>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</si>
  <si>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</si>
  <si>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</si>
  <si>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</si>
  <si>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</si>
  <si>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</si>
  <si>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</si>
  <si>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</si>
  <si>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</si>
  <si>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</si>
  <si>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t>2026</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</si>
  <si>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</si>
  <si>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Финансовый план</t>
  </si>
  <si>
    <t>Источники финансирования</t>
  </si>
  <si>
    <t>Объем фактического выполнения за счет источников финансирования (тыс. руб. без НДС)</t>
  </si>
  <si>
    <t>Всего</t>
  </si>
  <si>
    <t>Расходы на мероприятия инвестиционной программы</t>
  </si>
  <si>
    <t>Собственные средства</t>
  </si>
  <si>
    <t>1.4</t>
  </si>
  <si>
    <t>1.5</t>
  </si>
  <si>
    <t>1.6</t>
  </si>
  <si>
    <t>1.7</t>
  </si>
  <si>
    <t>1.8</t>
  </si>
  <si>
    <t>1.9</t>
  </si>
  <si>
    <t>1.10</t>
  </si>
  <si>
    <t>1.11</t>
  </si>
  <si>
    <t>1.12</t>
  </si>
  <si>
    <t>Привлеченные средства</t>
  </si>
  <si>
    <t>Займы</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</si>
  <si>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</si>
  <si>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</si>
  <si>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</si>
  <si>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</si>
  <si>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</si>
  <si>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</si>
  <si>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</si>
  <si>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Финансируемые за счет нормативной прибыли, учитываемой в необходимой валовой выручке</t>
  </si>
  <si>
    <t>1.1.2</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</si>
  <si>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</si>
  <si>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</si>
  <si>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</si>
  <si>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</si>
  <si>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</si>
  <si>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</si>
  <si>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</si>
  <si>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</si>
  <si>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</si>
  <si>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</si>
  <si>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</si>
  <si>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</si>
  <si>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</si>
  <si>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</si>
  <si>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</si>
  <si>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</si>
  <si>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</si>
  <si>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</si>
  <si>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</si>
  <si>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</si>
  <si>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</si>
  <si>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</si>
  <si>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</si>
  <si>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</si>
  <si>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</si>
  <si>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</si>
  <si>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</si>
  <si>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</si>
  <si>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</si>
  <si>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</si>
  <si>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</si>
  <si>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</si>
  <si>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</si>
  <si>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</si>
  <si>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</si>
  <si>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</si>
  <si>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</si>
  <si>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</si>
  <si>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</si>
  <si>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</si>
  <si>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</si>
  <si>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</si>
  <si>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</si>
  <si>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</si>
  <si>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</si>
  <si>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</si>
  <si>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</si>
  <si>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</si>
  <si>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</si>
  <si>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</si>
  <si>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</si>
  <si>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</si>
  <si>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</si>
  <si>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</si>
  <si>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</si>
  <si>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</si>
  <si>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</si>
  <si>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</si>
  <si>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</si>
  <si>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</si>
  <si>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Для каждого вида тарифа в сфере горячего водоснабжения форма заполняется отдельно. При размещении информации по данной форме дополнительно указываются сведения: наименование органа регулирования тарифов, принявшего решение об установлении тарифа, реквизиты (дата и номер) решения об установлении тарифа, источник официального опубликования решения об установлении тарифа.</t>
  </si>
  <si>
    <t>Для каждого вида тарифа в сфере горячего водоснабжения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</si>
  <si>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pt_ist_te_16</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</si>
  <si>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</si>
  <si>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</si>
  <si>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</si>
  <si>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</si>
  <si>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</si>
  <si>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Для каждого вида тарифа в сфере водоотведения форма заполняется отдельно. При размещении информации по данной форме дополнительно указываются сведения: наименование органа регулирования тарифов, принявшего решение об установлении тарифа, реквизиты (дата и номер) решения об установлении тарифа, источник официального опубликования решения об установлении тарифа.</t>
  </si>
  <si>
    <t>Для каждого вида тарифа в сфере водоотведения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</si>
  <si>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</si>
  <si>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</si>
  <si>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</si>
  <si>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</si>
  <si>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</si>
  <si>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</si>
  <si>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</si>
  <si>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</si>
  <si>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</si>
  <si>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</si>
  <si>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</si>
  <si>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</si>
  <si>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</si>
  <si>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</si>
  <si>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</si>
  <si>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</si>
  <si>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</si>
  <si>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</si>
  <si>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</si>
  <si>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</si>
  <si>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</si>
  <si>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</si>
  <si>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</si>
  <si>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</si>
  <si>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</si>
  <si>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</si>
  <si>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</si>
  <si>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</si>
  <si>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</si>
  <si>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</si>
  <si>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</si>
  <si>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</si>
  <si>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</si>
  <si>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</si>
  <si>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</si>
  <si>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</si>
  <si>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</si>
  <si>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</si>
  <si>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</si>
  <si>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</si>
  <si>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</si>
  <si>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</si>
  <si>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</si>
  <si>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</si>
  <si>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</si>
  <si>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</si>
  <si>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</si>
  <si>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</si>
  <si>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</si>
  <si>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</si>
  <si>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</si>
  <si>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</si>
  <si>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</si>
  <si>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</si>
  <si>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</si>
  <si>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</si>
  <si>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</si>
  <si>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 xml:space="preserve">Информация о докладе, содержащем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 </t>
  </si>
  <si>
    <t>Наименование регулируемой организации</t>
  </si>
  <si>
    <t>Комментарии</t>
  </si>
  <si>
    <t>Результат проверки</t>
  </si>
  <si>
    <t>Ссылка</t>
  </si>
  <si>
    <t>Причина</t>
  </si>
  <si>
    <t>Статус</t>
  </si>
  <si>
    <t>Цвет</t>
  </si>
  <si>
    <t>Раздел</t>
  </si>
  <si>
    <t>доп.листы</t>
  </si>
  <si>
    <t>готовность</t>
  </si>
  <si>
    <t>ИП</t>
  </si>
  <si>
    <t>REGION_ID</t>
  </si>
  <si>
    <t>REGION_NAME</t>
  </si>
  <si>
    <t>RST_ORG_ID</t>
  </si>
  <si>
    <t>ORG_NAME</t>
  </si>
  <si>
    <t>INN_NAME</t>
  </si>
  <si>
    <t>KPP_NAME</t>
  </si>
  <si>
    <t>ORG_START_DATE</t>
  </si>
  <si>
    <t>ORG_END_DATE</t>
  </si>
  <si>
    <t>VDET_START_DATE</t>
  </si>
  <si>
    <t>VDET_END_DATE</t>
  </si>
  <si>
    <t>VDET_NAME</t>
  </si>
  <si>
    <t>VDET_NAME_LIST</t>
  </si>
  <si>
    <t>VDET_FULL_NAME_LIST</t>
  </si>
  <si>
    <t>SPHERE</t>
  </si>
  <si>
    <t>2634</t>
  </si>
  <si>
    <t>31705104</t>
  </si>
  <si>
    <t>АНО "Парк мастеров Нижполиграф"</t>
  </si>
  <si>
    <t>5260471963</t>
  </si>
  <si>
    <t>526001001</t>
  </si>
  <si>
    <t>08-06-2020 00:00:00</t>
  </si>
  <si>
    <t>25-10-2023 00:00:00</t>
  </si>
  <si>
    <t>31-01-2024 00:00:00</t>
  </si>
  <si>
    <t>Некомбинированная выработка :: Сбыт :: Передача</t>
  </si>
  <si>
    <t>/Тепловая энергия/Производство/Некомбинированная выработка :: /Тепловая энергия/Сбыт :: /Тепловая энергия/Передача</t>
  </si>
  <si>
    <t>01-02-2024 00:00:00</t>
  </si>
  <si>
    <t>26358403</t>
  </si>
  <si>
    <t>АО "78 ДОК Н.М."</t>
  </si>
  <si>
    <t>5257052472</t>
  </si>
  <si>
    <t>525701001</t>
  </si>
  <si>
    <t>15-09-2008 00:00:00</t>
  </si>
  <si>
    <t>26358280</t>
  </si>
  <si>
    <t>АО "АМЗ"</t>
  </si>
  <si>
    <t>5243001767</t>
  </si>
  <si>
    <t>525350001</t>
  </si>
  <si>
    <t>18-03-1993 00:00:00</t>
  </si>
  <si>
    <t>26358279</t>
  </si>
  <si>
    <t>АО "АПЗ"</t>
  </si>
  <si>
    <t>5243001742</t>
  </si>
  <si>
    <t>524301001</t>
  </si>
  <si>
    <t>26373616</t>
  </si>
  <si>
    <t>АО "ВМЗ"</t>
  </si>
  <si>
    <t>5247004695</t>
  </si>
  <si>
    <t>524701001</t>
  </si>
  <si>
    <t>Некомбинированная выработка</t>
  </si>
  <si>
    <t>/Тепловая энергия/Производство/Некомбинированная выработка</t>
  </si>
  <si>
    <t>01-01-2017 00:00:00</t>
  </si>
  <si>
    <t>Сбыт :: Передача</t>
  </si>
  <si>
    <t>/Тепловая энергия/Сбыт :: /Тепловая энергия/Передача</t>
  </si>
  <si>
    <t>26358464</t>
  </si>
  <si>
    <t>АО "ВОЛГА-ФЛОТ"</t>
  </si>
  <si>
    <t>5260902190</t>
  </si>
  <si>
    <t>31314742</t>
  </si>
  <si>
    <t>АО "ВЫКСАТЕПЛОЭНЕРГО"</t>
  </si>
  <si>
    <t>5247055114</t>
  </si>
  <si>
    <t>01-12-2022 00:00:00</t>
  </si>
  <si>
    <t>Некомбинированная выработка :: Сбыт</t>
  </si>
  <si>
    <t>/Тепловая энергия/Производство/Некомбинированная выработка :: /Тепловая энергия/Сбыт</t>
  </si>
  <si>
    <t>26373593</t>
  </si>
  <si>
    <t>АО "Волга"</t>
  </si>
  <si>
    <t>5244009279</t>
  </si>
  <si>
    <t>524401001</t>
  </si>
  <si>
    <t>31-01-2021 00:00:00</t>
  </si>
  <si>
    <t>Комбинированная выработка :: Некомбинированная выработка :: Сбыт :: Передача</t>
  </si>
  <si>
    <t>/Тепловая энергия/Производство/Комбинированная выработка :: /Тепловая энергия/Производство/Некомбинированная выработка :: /Тепловая энергия/Сбыт :: /Тепловая энергия/Передача</t>
  </si>
  <si>
    <t>Теплоноситель - Сбыт :: Производство :: Передача</t>
  </si>
  <si>
    <t>Сбыт :: Производство :: Передача</t>
  </si>
  <si>
    <t>/Теплоноситель/Сбыт :: /Теплоноситель/Производство :: /Теплоноситель/Передача</t>
  </si>
  <si>
    <t>26358364</t>
  </si>
  <si>
    <t>АО "Гидроагрегат"</t>
  </si>
  <si>
    <t>5252000470</t>
  </si>
  <si>
    <t>525201001</t>
  </si>
  <si>
    <t>26569426</t>
  </si>
  <si>
    <t>АО "ДПО "Пластик"</t>
  </si>
  <si>
    <t>5249015251</t>
  </si>
  <si>
    <t>524901001</t>
  </si>
  <si>
    <t>01-12-2017 00:00:00</t>
  </si>
  <si>
    <t>26358272</t>
  </si>
  <si>
    <t>АО "ДРСП"</t>
  </si>
  <si>
    <t>5239006515</t>
  </si>
  <si>
    <t>523901001</t>
  </si>
  <si>
    <t>31258691</t>
  </si>
  <si>
    <t>АО "ЖКХ "КАЛИКИНСКОЕ"</t>
  </si>
  <si>
    <t>5246038236</t>
  </si>
  <si>
    <t>524601001</t>
  </si>
  <si>
    <t>08-07-2010 00:00:00</t>
  </si>
  <si>
    <t>31063349</t>
  </si>
  <si>
    <t>АО "ЗАВОД "ЭЛЕКТРОМАШ"</t>
  </si>
  <si>
    <t>5263125030</t>
  </si>
  <si>
    <t>526301001</t>
  </si>
  <si>
    <t>01-07-2018 00:00:00</t>
  </si>
  <si>
    <t>26358397</t>
  </si>
  <si>
    <t>АО "ЗАВОД КРАСНЫЙ ЯКОРЬ"</t>
  </si>
  <si>
    <t>5257005049</t>
  </si>
  <si>
    <t>15-10-1993 00:00:00</t>
  </si>
  <si>
    <t>26358281</t>
  </si>
  <si>
    <t>АО "ЛЕГМАШ"</t>
  </si>
  <si>
    <t>5243001862</t>
  </si>
  <si>
    <t>27-10-1992 00:00:00</t>
  </si>
  <si>
    <t>Некомбинированная выработка :: Передача</t>
  </si>
  <si>
    <t>/Тепловая энергия/Производство/Некомбинированная выработка :: /Тепловая энергия/Передача</t>
  </si>
  <si>
    <t>26358393</t>
  </si>
  <si>
    <t>АО "МЕЛЬИНВЕСТ"</t>
  </si>
  <si>
    <t>5257003490</t>
  </si>
  <si>
    <t>26358385</t>
  </si>
  <si>
    <t>АО "Международный Аэропорт Нижний Новгород"</t>
  </si>
  <si>
    <t>5256045754</t>
  </si>
  <si>
    <t>26358270</t>
  </si>
  <si>
    <t>АО "Молоко"</t>
  </si>
  <si>
    <t>5239001108</t>
  </si>
  <si>
    <t>26555642</t>
  </si>
  <si>
    <t>АО "НАС"</t>
  </si>
  <si>
    <t>5257001277</t>
  </si>
  <si>
    <t>12-08-2010 00:00:00</t>
  </si>
  <si>
    <t>30844713</t>
  </si>
  <si>
    <t>АО "НЗ 70-ЛЕТИЯ ПОБЕДЫ"</t>
  </si>
  <si>
    <t>5259113339</t>
  </si>
  <si>
    <t>525901001</t>
  </si>
  <si>
    <t>01-10-2016 00:00:00</t>
  </si>
  <si>
    <t>26358179</t>
  </si>
  <si>
    <t>АО "НЗСМ"</t>
  </si>
  <si>
    <t>5223000035</t>
  </si>
  <si>
    <t>522301001</t>
  </si>
  <si>
    <t>01-01-2007 00:00:00</t>
  </si>
  <si>
    <t>26358394</t>
  </si>
  <si>
    <t>АО "НМЖК"</t>
  </si>
  <si>
    <t>5257003806</t>
  </si>
  <si>
    <t>26358469</t>
  </si>
  <si>
    <t>АО "ННПО имени М.В. Фрунзе"</t>
  </si>
  <si>
    <t>5261077695</t>
  </si>
  <si>
    <t>526101001</t>
  </si>
  <si>
    <t>15-08-2011 00:00:00</t>
  </si>
  <si>
    <t>31023931</t>
  </si>
  <si>
    <t>АО "НОКК" (Балахнинский филиал)</t>
  </si>
  <si>
    <t>5260267654</t>
  </si>
  <si>
    <t>524443001</t>
  </si>
  <si>
    <t>Комбинированная выработка :: Некомбинированная выработка :: Передача</t>
  </si>
  <si>
    <t>/Тепловая энергия/Производство/Комбинированная выработка :: /Тепловая энергия/Производство/Некомбинированная выработка :: /Тепловая энергия/Передача</t>
  </si>
  <si>
    <t>27566839</t>
  </si>
  <si>
    <t>АО "НОКК" (Богородский филиал)</t>
  </si>
  <si>
    <t>524543001</t>
  </si>
  <si>
    <t>01-07-2020 00:00:00</t>
  </si>
  <si>
    <t>01-01-2021 00:00:00</t>
  </si>
  <si>
    <t>31538730</t>
  </si>
  <si>
    <t>АО "НОКК" (Ветлужский филиал)</t>
  </si>
  <si>
    <t>523543002</t>
  </si>
  <si>
    <t>01-01-2023 00:00:00</t>
  </si>
  <si>
    <t>31538777</t>
  </si>
  <si>
    <t>АО "НОКК" (Володарский филиал)</t>
  </si>
  <si>
    <t>524943001</t>
  </si>
  <si>
    <t>27968016</t>
  </si>
  <si>
    <t>АО "НОКК" (Семеновский филиал)</t>
  </si>
  <si>
    <t>522845001</t>
  </si>
  <si>
    <t>20-11-2012 00:00:00</t>
  </si>
  <si>
    <t>31171901</t>
  </si>
  <si>
    <t>АО "НОКК" (Сеченовский филиал)</t>
  </si>
  <si>
    <t>523043001</t>
  </si>
  <si>
    <t>28007548</t>
  </si>
  <si>
    <t>АО "НОКК" (Шахунский филиал)</t>
  </si>
  <si>
    <t>523943001</t>
  </si>
  <si>
    <t>20-12-2012 00:00:00</t>
  </si>
  <si>
    <t>26358399</t>
  </si>
  <si>
    <t>АО "Нормаль"</t>
  </si>
  <si>
    <t>5257005345</t>
  </si>
  <si>
    <t>26555359</t>
  </si>
  <si>
    <t>АО "СГК"</t>
  </si>
  <si>
    <t>5254082550</t>
  </si>
  <si>
    <t>525401001</t>
  </si>
  <si>
    <t>Комбинированная выработка</t>
  </si>
  <si>
    <t>/Тепловая энергия/Производство/Комбинированная выработка</t>
  </si>
  <si>
    <t>01-01-2014 00:00:00</t>
  </si>
  <si>
    <t>26322331</t>
  </si>
  <si>
    <t>АО "СИБУР-НЕФТЕХИМ"</t>
  </si>
  <si>
    <t>5249051203</t>
  </si>
  <si>
    <t>12-07-2019 00:00:00</t>
  </si>
  <si>
    <t>26555361</t>
  </si>
  <si>
    <t>АО "СТСК"</t>
  </si>
  <si>
    <t>5254082630</t>
  </si>
  <si>
    <t>26358408</t>
  </si>
  <si>
    <t>АО "Теплоэнерго"</t>
  </si>
  <si>
    <t>5257087027</t>
  </si>
  <si>
    <t>01-11-2019 00:00:00</t>
  </si>
  <si>
    <t>01-10-2021 00:00:00</t>
  </si>
  <si>
    <t>26358184</t>
  </si>
  <si>
    <t>АО "Транспневматика"</t>
  </si>
  <si>
    <t>5224001190</t>
  </si>
  <si>
    <t>522401001</t>
  </si>
  <si>
    <t>26-10-1992 00:00:00</t>
  </si>
  <si>
    <t>01-01-2010 00:00:00</t>
  </si>
  <si>
    <t>27585148</t>
  </si>
  <si>
    <t>АО "ЭСК"</t>
  </si>
  <si>
    <t>5262054490</t>
  </si>
  <si>
    <t>07-09-2009 00:00:00</t>
  </si>
  <si>
    <t>26358197</t>
  </si>
  <si>
    <t>АО «ХОХЛОМСКАЯ РОСПИСЬ»</t>
  </si>
  <si>
    <t>5228001113</t>
  </si>
  <si>
    <t>522801001</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</si>
  <si>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</si>
  <si>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</si>
  <si>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</si>
  <si>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</si>
  <si>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</si>
  <si>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</si>
  <si>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</si>
  <si>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</si>
  <si>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</si>
  <si>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</si>
  <si>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</si>
  <si>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</si>
  <si>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</si>
  <si>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</si>
  <si>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</si>
  <si>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21-05-2013 00:00:00</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</si>
  <si>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</si>
  <si>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</si>
  <si>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</si>
  <si>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</si>
  <si>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</si>
  <si>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</si>
  <si>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</si>
  <si>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</si>
  <si>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</si>
  <si>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</si>
  <si>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</si>
  <si>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</si>
  <si>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</si>
  <si>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</si>
  <si>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</si>
  <si>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</si>
  <si>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</si>
  <si>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</si>
  <si>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</si>
  <si>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</si>
  <si>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</si>
  <si>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</si>
  <si>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</si>
  <si>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</si>
  <si>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26358119</t>
  </si>
  <si>
    <t>ГБУ "Решетихинский ПНИ"</t>
  </si>
  <si>
    <t>5214003022</t>
  </si>
  <si>
    <t>521401001</t>
  </si>
  <si>
    <t>27579733</t>
  </si>
  <si>
    <t>ГБУ ОСРЦИ "Пушкино"</t>
  </si>
  <si>
    <t>5249050312</t>
  </si>
  <si>
    <t>17-01-2012 00:00:00</t>
  </si>
  <si>
    <t>26358243</t>
  </si>
  <si>
    <t>ГБУ СРЦИ "КРАСНЫЙ ЯР"</t>
  </si>
  <si>
    <t>5235001940</t>
  </si>
  <si>
    <t>523501001</t>
  </si>
  <si>
    <t>31036531</t>
  </si>
  <si>
    <t>ГБУ ССОН "АВТОЗАВОДСКИЙ ДОМ ДЛЯ ДЕТЕЙ "НАДЕЖДА"</t>
  </si>
  <si>
    <t>5256026159</t>
  </si>
  <si>
    <t>21-02-2018 00:00:00</t>
  </si>
  <si>
    <t>01-03-2018 00:00:00</t>
  </si>
  <si>
    <t>Теплоноситель - Производство :: Передача</t>
  </si>
  <si>
    <t>Производство :: Передача</t>
  </si>
  <si>
    <t>/Теплоноситель/Производство :: /Теплоноситель/Передача</t>
  </si>
  <si>
    <t>26555218</t>
  </si>
  <si>
    <t>ГБУЗ НО "КИСЕЛИХИНСКИЙ ОБЛАСТНОЙ ТЕРАПЕВТИЧЕСКИЙ ГОСПИТАЛЬ ДЛЯ ВЕТЕРАНОВ ВОЙН"</t>
  </si>
  <si>
    <t>5246010400</t>
  </si>
  <si>
    <t>11-08-2010 00:00:00</t>
  </si>
  <si>
    <t>26358374</t>
  </si>
  <si>
    <t>ГКОУ "ПАВЛОВСКИЙ САНАТОРНЫЙ ДЕТСКИЙ ДОМ"</t>
  </si>
  <si>
    <t>5252008631</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</si>
  <si>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</si>
  <si>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</si>
  <si>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</si>
  <si>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</si>
  <si>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01-01-2011 00:00:00</t>
  </si>
  <si>
    <t>14-04-2011 00:00:00</t>
  </si>
  <si>
    <t>26634205</t>
  </si>
  <si>
    <t>Дальнеконстантиновское МУПП ЖКХ</t>
  </si>
  <si>
    <t>5215001934</t>
  </si>
  <si>
    <t>521501001</t>
  </si>
  <si>
    <t>26555546</t>
  </si>
  <si>
    <t>ЗАО "Завод "Труд"</t>
  </si>
  <si>
    <t>5261005718</t>
  </si>
  <si>
    <t>26322355</t>
  </si>
  <si>
    <t>ЗАО "Концерн "Термаль"</t>
  </si>
  <si>
    <t>5261017382</t>
  </si>
  <si>
    <t>13-08-2008 00:00:00</t>
  </si>
  <si>
    <t>19-08-2008 00:00:00</t>
  </si>
  <si>
    <t>26358416</t>
  </si>
  <si>
    <t>ЗАО "Энерго групп"</t>
  </si>
  <si>
    <t>5258050559</t>
  </si>
  <si>
    <t>01-01-2024 00:00:00</t>
  </si>
  <si>
    <t>/Тепловая энергия/Передача</t>
  </si>
  <si>
    <t>26358476</t>
  </si>
  <si>
    <t>ЗАО МЗ "РИЛС"</t>
  </si>
  <si>
    <t>5262020719</t>
  </si>
  <si>
    <t>526201001</t>
  </si>
  <si>
    <t>28870867</t>
  </si>
  <si>
    <t>ИП Копытова Н.В.</t>
  </si>
  <si>
    <t>523903931595</t>
  </si>
  <si>
    <t>01-03-2014 00:00:00</t>
  </si>
  <si>
    <t>31446275</t>
  </si>
  <si>
    <t>ИП МИХЕЕВ АНДРЕЙ ЛЕОНИДОВИЧ</t>
  </si>
  <si>
    <t>370202154863</t>
  </si>
  <si>
    <t>02-01-2023 00:00:00</t>
  </si>
  <si>
    <t>31543929</t>
  </si>
  <si>
    <t>ИП Павлов А.В.</t>
  </si>
  <si>
    <t>524402453501</t>
  </si>
  <si>
    <t>01-02-2022 00:00:00</t>
  </si>
  <si>
    <t>Теплоноситель - Передача</t>
  </si>
  <si>
    <t>/Теплоноситель/Передача</t>
  </si>
  <si>
    <t>28868794</t>
  </si>
  <si>
    <t>ИП Чурашев Михаил Юрьевич</t>
  </si>
  <si>
    <t>525616836221</t>
  </si>
  <si>
    <t>01-01-2020 00:00:00</t>
  </si>
  <si>
    <t>27713249</t>
  </si>
  <si>
    <t>Лысковский филиал ООО "Арзамасское ПО "Автопровод"</t>
  </si>
  <si>
    <t>522202001</t>
  </si>
  <si>
    <t>31691473</t>
  </si>
  <si>
    <t>МБУК "ЦКС"</t>
  </si>
  <si>
    <t>5209003972</t>
  </si>
  <si>
    <t>520901001</t>
  </si>
  <si>
    <t>26551350</t>
  </si>
  <si>
    <t>МОУ Белышевская школа</t>
  </si>
  <si>
    <t>5209004278</t>
  </si>
  <si>
    <t>29648861</t>
  </si>
  <si>
    <t>МП "ВАДРЕСУРС"</t>
  </si>
  <si>
    <t>5206025103</t>
  </si>
  <si>
    <t>520601001</t>
  </si>
  <si>
    <t>26373529</t>
  </si>
  <si>
    <t>МП "Горводопровод"</t>
  </si>
  <si>
    <t>5228009786</t>
  </si>
  <si>
    <t>01-01-2018 00:00:00</t>
  </si>
  <si>
    <t>28942141</t>
  </si>
  <si>
    <t>МП "Жилкомсервис"</t>
  </si>
  <si>
    <t>5223034940</t>
  </si>
  <si>
    <t>01-03-2015 00:00:00</t>
  </si>
  <si>
    <t>31521764</t>
  </si>
  <si>
    <t>МП "ИЛЬИНО-ЗАБОРСКОЕ ЖКХ"</t>
  </si>
  <si>
    <t>5228058303</t>
  </si>
  <si>
    <t>01-07-2022 00:00:00</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</si>
  <si>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</si>
  <si>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</si>
  <si>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</si>
  <si>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</si>
  <si>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</si>
  <si>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</si>
  <si>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</si>
  <si>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</si>
  <si>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</si>
  <si>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</si>
  <si>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</si>
  <si>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</si>
  <si>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</si>
  <si>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27965842</t>
  </si>
  <si>
    <t>МП ЖКХ "Планета"</t>
  </si>
  <si>
    <t>5249012187</t>
  </si>
  <si>
    <t>19-11-2012 00:00:00</t>
  </si>
  <si>
    <t>31543727</t>
  </si>
  <si>
    <t>МП КОВЕРНИНСКОГО МУНИЦИПАЛЬНОГО ОКРУГА "ЖИЛИЩНО-КОММУНАЛЬНОЕ ХОЗЯЙСТВО "КОВЕРНИНО"</t>
  </si>
  <si>
    <t>5248044330</t>
  </si>
  <si>
    <t>524801001</t>
  </si>
  <si>
    <t>22-11-2021 00:00:00</t>
  </si>
  <si>
    <t>01-10-2022 00:00:00</t>
  </si>
  <si>
    <t>26652819</t>
  </si>
  <si>
    <t>МУП "Большое Козино"</t>
  </si>
  <si>
    <t>5244022199</t>
  </si>
  <si>
    <t>26373543</t>
  </si>
  <si>
    <t>МУП "Бытсервис"</t>
  </si>
  <si>
    <t>5231004770</t>
  </si>
  <si>
    <t>523101001</t>
  </si>
  <si>
    <t>31247110</t>
  </si>
  <si>
    <t>МУП "ВОДНИК"</t>
  </si>
  <si>
    <t>5234005042</t>
  </si>
  <si>
    <t>523401001</t>
  </si>
  <si>
    <t>30855659</t>
  </si>
  <si>
    <t>МУП "ВОРОТЫНСКОЕ ЖКХ"</t>
  </si>
  <si>
    <t>5211759886</t>
  </si>
  <si>
    <t>521101001</t>
  </si>
  <si>
    <t>26358098</t>
  </si>
  <si>
    <t>МУП "Варнавинкоммунсервис"</t>
  </si>
  <si>
    <t>5207003582</t>
  </si>
  <si>
    <t>28871157</t>
  </si>
  <si>
    <t>МУП "Водоканал"</t>
  </si>
  <si>
    <t>5239010720</t>
  </si>
  <si>
    <t>01-01-2019 00:00:00</t>
  </si>
  <si>
    <t>27201619</t>
  </si>
  <si>
    <t>МУП "ДзержинскЭнерго"</t>
  </si>
  <si>
    <t>5249003457</t>
  </si>
  <si>
    <t>30-09-2011 00:00:00</t>
  </si>
  <si>
    <t>26358220</t>
  </si>
  <si>
    <t>МУП "Елизарово"</t>
  </si>
  <si>
    <t>5231004795</t>
  </si>
  <si>
    <t>28449409</t>
  </si>
  <si>
    <t>МУП "ЖКХ "СЕВЕРНЫЙ"</t>
  </si>
  <si>
    <t>5248036146</t>
  </si>
  <si>
    <t>28005091</t>
  </si>
  <si>
    <t>МУП "ЖКХ Буревестник"</t>
  </si>
  <si>
    <t>5248033561</t>
  </si>
  <si>
    <t>26358324</t>
  </si>
  <si>
    <t>МУП "ЖКХ Зарубинское"</t>
  </si>
  <si>
    <t>5248015611</t>
  </si>
  <si>
    <t>26358331</t>
  </si>
  <si>
    <t>МУП "ЖКХ Зиняковское"</t>
  </si>
  <si>
    <t>5248015700</t>
  </si>
  <si>
    <t>26358329</t>
  </si>
  <si>
    <t>МУП "ЖКХ Кумохинское"</t>
  </si>
  <si>
    <t>5248015682</t>
  </si>
  <si>
    <t>28147903</t>
  </si>
  <si>
    <t>МУП "ЖКХ Лысковского района"</t>
  </si>
  <si>
    <t>5222070569</t>
  </si>
  <si>
    <t>522201001</t>
  </si>
  <si>
    <t>26358335</t>
  </si>
  <si>
    <t>МУП "ЖКХ Мошковское"</t>
  </si>
  <si>
    <t>5248015756</t>
  </si>
  <si>
    <t>31266429</t>
  </si>
  <si>
    <t>МУП "ЖКХ"</t>
  </si>
  <si>
    <t>5208006025</t>
  </si>
  <si>
    <t>520801001</t>
  </si>
  <si>
    <t>28871911</t>
  </si>
  <si>
    <t>МУП "КОММУНАЛЬЩИК"</t>
  </si>
  <si>
    <t>5225006709</t>
  </si>
  <si>
    <t>26552168</t>
  </si>
  <si>
    <t>МУП "КОМУНЭНЕРГО"</t>
  </si>
  <si>
    <t>5238006336</t>
  </si>
  <si>
    <t>523801001</t>
  </si>
  <si>
    <t>30354230</t>
  </si>
  <si>
    <t>МУП "КОНЕВО"</t>
  </si>
  <si>
    <t>5244029437</t>
  </si>
  <si>
    <t>26358265</t>
  </si>
  <si>
    <t>МУП "ЛЕСОГОРСК ЖКХ"</t>
  </si>
  <si>
    <t>5238005484</t>
  </si>
  <si>
    <t>31158286</t>
  </si>
  <si>
    <t>МУП "Лысковокоммунсервис"</t>
  </si>
  <si>
    <t>5222071587</t>
  </si>
  <si>
    <t>31314620</t>
  </si>
  <si>
    <t>МУП "МП "БРКК" МО "БМР"</t>
  </si>
  <si>
    <t>5244031690</t>
  </si>
  <si>
    <t>27839234</t>
  </si>
  <si>
    <t>МУП "МП "ВОДОКАНАЛ" МО "БАЛАХНИНСКИЙ МУНИЦИПАЛЬНЫЙ ОКРУГ" НИЖЕГОРОДСКОЙ ОБЛАСТИ"</t>
  </si>
  <si>
    <t>5244025070</t>
  </si>
  <si>
    <t>31205512</t>
  </si>
  <si>
    <t>МУП "РАЙТОПСБЫТ"</t>
  </si>
  <si>
    <t>5226013120</t>
  </si>
  <si>
    <t>522601001</t>
  </si>
  <si>
    <t>30382083</t>
  </si>
  <si>
    <t>МУП "СЕВЕРНОЕ ЖКХ"</t>
  </si>
  <si>
    <t>5207016670</t>
  </si>
  <si>
    <t>26373630</t>
  </si>
  <si>
    <t>МУП "ТВК" г. Заволжья</t>
  </si>
  <si>
    <t>5248016372</t>
  </si>
  <si>
    <t>31348885</t>
  </si>
  <si>
    <t>МУП "ТРУД"</t>
  </si>
  <si>
    <t>5201002409</t>
  </si>
  <si>
    <t>520101001</t>
  </si>
  <si>
    <t>27573878</t>
  </si>
  <si>
    <t>МУП "Тепло"</t>
  </si>
  <si>
    <t>5252029494</t>
  </si>
  <si>
    <t>26552019</t>
  </si>
  <si>
    <t>МУП "Тепловик-1"</t>
  </si>
  <si>
    <t>5217001030</t>
  </si>
  <si>
    <t>521701001</t>
  </si>
  <si>
    <t>26358322</t>
  </si>
  <si>
    <t>МУП "Тепловые сети"</t>
  </si>
  <si>
    <t>5248011350</t>
  </si>
  <si>
    <t>26358221</t>
  </si>
  <si>
    <t>МУП "Теплоэнергия-1"</t>
  </si>
  <si>
    <t>5231004851</t>
  </si>
  <si>
    <t>26358231</t>
  </si>
  <si>
    <t>МУП "Тонкинские теплосети"</t>
  </si>
  <si>
    <t>5233002810</t>
  </si>
  <si>
    <t>523301001</t>
  </si>
  <si>
    <t>26373388</t>
  </si>
  <si>
    <t>МУП "Управляющая компания"</t>
  </si>
  <si>
    <t>5204001114</t>
  </si>
  <si>
    <t>520401001</t>
  </si>
  <si>
    <t>28053496</t>
  </si>
  <si>
    <t>МУП "ШОКС"</t>
  </si>
  <si>
    <t>5239010688</t>
  </si>
  <si>
    <t>21-01-2013 00:00:00</t>
  </si>
  <si>
    <t>26551775</t>
  </si>
  <si>
    <t>МУП "Юго-Запад"</t>
  </si>
  <si>
    <t>5227005267</t>
  </si>
  <si>
    <t>01-01-2022 00:00:00</t>
  </si>
  <si>
    <t>30872197</t>
  </si>
  <si>
    <t>МУП «КОММУНРЕСУРС КРАСНОБАКОВСКОГО МУНИЦИПАЛЬНОГО ОКРУГА»</t>
  </si>
  <si>
    <t>5219383900</t>
  </si>
  <si>
    <t>521901001</t>
  </si>
  <si>
    <t>02-08-2016 00:00:00</t>
  </si>
  <si>
    <t>26358255</t>
  </si>
  <si>
    <t>МУП «ЧКАЛОВСКЭНЕРГОРЕСУРС»</t>
  </si>
  <si>
    <t>5236002390</t>
  </si>
  <si>
    <t>523601001</t>
  </si>
  <si>
    <t>31258650</t>
  </si>
  <si>
    <t>МУП ВАРНАВИНСКОГО МУНИЦИПАЛЬНОГО ОКРУГА «ТЕПЛОСНАБЖЕНИЕ»</t>
  </si>
  <si>
    <t>5207016782</t>
  </si>
  <si>
    <t>27577563</t>
  </si>
  <si>
    <t>МУП ЖКХ</t>
  </si>
  <si>
    <t>5237002949</t>
  </si>
  <si>
    <t>523701001</t>
  </si>
  <si>
    <t>26358136</t>
  </si>
  <si>
    <t>МУП ЖКХ "БОГОЯВЛЕНСКОЕ"</t>
  </si>
  <si>
    <t>5215010375</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</si>
  <si>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</si>
  <si>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</si>
  <si>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</si>
  <si>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</si>
  <si>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</si>
  <si>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</si>
  <si>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</si>
  <si>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</si>
  <si>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</si>
  <si>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</si>
  <si>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</si>
  <si>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</si>
  <si>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</si>
  <si>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</si>
  <si>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</si>
  <si>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28452082</t>
  </si>
  <si>
    <t>МУП ЖКХ "Сокол"</t>
  </si>
  <si>
    <t>5248034734</t>
  </si>
  <si>
    <t>26553600</t>
  </si>
  <si>
    <t>МУП ЖКХ Григоровского сельсовета</t>
  </si>
  <si>
    <t>5204001467</t>
  </si>
  <si>
    <t>26358297</t>
  </si>
  <si>
    <t>МУП ЖКХ С. КАМЕНКИ</t>
  </si>
  <si>
    <t>5245007965</t>
  </si>
  <si>
    <t>524501001</t>
  </si>
  <si>
    <t>26358091</t>
  </si>
  <si>
    <t>МУП ЖКХ п. Советский</t>
  </si>
  <si>
    <t>5204002319</t>
  </si>
  <si>
    <t>26358426</t>
  </si>
  <si>
    <t>ННГАСУ</t>
  </si>
  <si>
    <t>5260002707</t>
  </si>
  <si>
    <t>26358474</t>
  </si>
  <si>
    <t>ННГУ</t>
  </si>
  <si>
    <t>5262004442</t>
  </si>
  <si>
    <t>01-01-2013 00:00:00</t>
  </si>
  <si>
    <t>26555250</t>
  </si>
  <si>
    <t>НПАП № 1 - филиал ГП "Нижегородпассажиравтотранс"</t>
  </si>
  <si>
    <t>5260000192</t>
  </si>
  <si>
    <t>525703001</t>
  </si>
  <si>
    <t>26555257</t>
  </si>
  <si>
    <t>НПАП № 2 - филиал ГП "Нижегородпассажиравтотранс"</t>
  </si>
  <si>
    <t>525802001</t>
  </si>
  <si>
    <t>26358477</t>
  </si>
  <si>
    <t>ОАО "170 РЗ СОП"</t>
  </si>
  <si>
    <t>5262240714</t>
  </si>
  <si>
    <t>26358400</t>
  </si>
  <si>
    <t>ОАО "ВВПКП "Оборонпромкомплекс"</t>
  </si>
  <si>
    <t>5257007173</t>
  </si>
  <si>
    <t>26569255</t>
  </si>
  <si>
    <t>ОАО "Керма"</t>
  </si>
  <si>
    <t>5250001581</t>
  </si>
  <si>
    <t>525001001</t>
  </si>
  <si>
    <t>26358171</t>
  </si>
  <si>
    <t>ОАО "ЛЭТЗ"</t>
  </si>
  <si>
    <t>5222000882</t>
  </si>
  <si>
    <t>26555652</t>
  </si>
  <si>
    <t>ОАО "Оргсинтез"</t>
  </si>
  <si>
    <t>5259008239</t>
  </si>
  <si>
    <t>27566914</t>
  </si>
  <si>
    <t>ОАО "Силикатный завод №1"</t>
  </si>
  <si>
    <t>5263008721</t>
  </si>
  <si>
    <t>31-12-2018 00:00:00</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</si>
  <si>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</si>
  <si>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</si>
  <si>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</si>
  <si>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</si>
  <si>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</si>
  <si>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</si>
  <si>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</si>
  <si>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</si>
  <si>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</si>
  <si>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</si>
  <si>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26358389</t>
  </si>
  <si>
    <t>Комбинированная выработка :: Некомбинированная выработка</t>
  </si>
  <si>
    <t>/Тепловая энергия/Производство/Комбинированная выработка :: /Тепловая энергия/Производство/Некомбинированная выработка</t>
  </si>
  <si>
    <t>26358283</t>
  </si>
  <si>
    <t>ООО "Арзамасское ПО "Автопровод"</t>
  </si>
  <si>
    <t>26647119</t>
  </si>
  <si>
    <t>ООО "Атриум Инвест"</t>
  </si>
  <si>
    <t>5259088139</t>
  </si>
  <si>
    <t>28460925</t>
  </si>
  <si>
    <t>ООО "БТГ"</t>
  </si>
  <si>
    <t>5246043620</t>
  </si>
  <si>
    <t>31618550</t>
  </si>
  <si>
    <t>ООО "БУГРОВСКИЕ МЕЛЬНИЦЫ"</t>
  </si>
  <si>
    <t>5259154060</t>
  </si>
  <si>
    <t>28013687</t>
  </si>
  <si>
    <t>ООО "Бор Инвест"</t>
  </si>
  <si>
    <t>5246041888</t>
  </si>
  <si>
    <t>25-12-2012 00:00:00</t>
  </si>
  <si>
    <t>28460965</t>
  </si>
  <si>
    <t>ООО "Бор Теплоэнерго"</t>
  </si>
  <si>
    <t>5246043589</t>
  </si>
  <si>
    <t>01-02-2014 00:00:00</t>
  </si>
  <si>
    <t>01-12-2014 00:00:00</t>
  </si>
  <si>
    <t>01-04-2016 00:00:00</t>
  </si>
  <si>
    <t>26358491</t>
  </si>
  <si>
    <t>ООО "Бутурлинское жилищно-коммунальное хозяйство"</t>
  </si>
  <si>
    <t>5205004630</t>
  </si>
  <si>
    <t>520501001</t>
  </si>
  <si>
    <t>31211396</t>
  </si>
  <si>
    <t>ООО "ВЕРУС ГРУПП"</t>
  </si>
  <si>
    <t>5257173928</t>
  </si>
  <si>
    <t>01-11-2018 00:00:00</t>
  </si>
  <si>
    <t>31187851</t>
  </si>
  <si>
    <t>ООО "ВОЛГАРЕСУРС"</t>
  </si>
  <si>
    <t>5244031394</t>
  </si>
  <si>
    <t>26358435</t>
  </si>
  <si>
    <t>ООО "Высоковский кирпичный завод+"</t>
  </si>
  <si>
    <t>5260108580</t>
  </si>
  <si>
    <t>31448442</t>
  </si>
  <si>
    <t>ООО "ГЛОБАЛЛОГИСТИК"</t>
  </si>
  <si>
    <t>5401307630</t>
  </si>
  <si>
    <t>01-11-2020 00:00:00</t>
  </si>
  <si>
    <t>26373418</t>
  </si>
  <si>
    <t>ООО "Гагинское ЖКХ"</t>
  </si>
  <si>
    <t>5213004143</t>
  </si>
  <si>
    <t>521301001</t>
  </si>
  <si>
    <t>27866190</t>
  </si>
  <si>
    <t>ООО "Генерация тепла"</t>
  </si>
  <si>
    <t>5258103070</t>
  </si>
  <si>
    <t>24-09-2012 00:00:00</t>
  </si>
  <si>
    <t>28502351</t>
  </si>
  <si>
    <t>ООО "Гефест"</t>
  </si>
  <si>
    <t>5239010310</t>
  </si>
  <si>
    <t>22-04-2014 00:00:00</t>
  </si>
  <si>
    <t>30385011</t>
  </si>
  <si>
    <t>ООО "Гранит"</t>
  </si>
  <si>
    <t>5260182440</t>
  </si>
  <si>
    <t>01-07-2021 00:00:00</t>
  </si>
  <si>
    <t>28265659</t>
  </si>
  <si>
    <t>ООО "Дзержинсктеплогаз"</t>
  </si>
  <si>
    <t>5249123377</t>
  </si>
  <si>
    <t>10-09-2013 00:00:00</t>
  </si>
  <si>
    <t>31196698</t>
  </si>
  <si>
    <t>ООО "ЖБС-5"</t>
  </si>
  <si>
    <t>5263130707</t>
  </si>
  <si>
    <t>01-10-2018 00:00:00</t>
  </si>
  <si>
    <t>31438254</t>
  </si>
  <si>
    <t>ООО "ЗАЛЕСНОЕ"</t>
  </si>
  <si>
    <t>5228055729</t>
  </si>
  <si>
    <t>01-09-2020 00:00:00</t>
  </si>
  <si>
    <t>28858492</t>
  </si>
  <si>
    <t>ООО "ЗЕНИТ ЭНЕРГО"</t>
  </si>
  <si>
    <t>5262305560</t>
  </si>
  <si>
    <t>08-09-2014 00:00:00</t>
  </si>
  <si>
    <t>01-01-2015 00:00:00</t>
  </si>
  <si>
    <t>31306641</t>
  </si>
  <si>
    <t>ООО "ИНЖЕНЕРНЫЙ ЦЕНТР"</t>
  </si>
  <si>
    <t>5246053330</t>
  </si>
  <si>
    <t>03-04-2019 00:00:00</t>
  </si>
  <si>
    <t>28821602</t>
  </si>
  <si>
    <t>ООО "Интер"</t>
  </si>
  <si>
    <t>5250060280</t>
  </si>
  <si>
    <t>31061810</t>
  </si>
  <si>
    <t>ООО "КАПИТАЛ-МЕНЕДЖМЕНТ"</t>
  </si>
  <si>
    <t>5258135717</t>
  </si>
  <si>
    <t>20-03-2018 00:00:00</t>
  </si>
  <si>
    <t>26358471</t>
  </si>
  <si>
    <t>ООО "КЛАСС ПЛЮС"</t>
  </si>
  <si>
    <t>5261106233</t>
  </si>
  <si>
    <t>30854345</t>
  </si>
  <si>
    <t>ООО "КОММУНАЛЬЩИК-НН"</t>
  </si>
  <si>
    <t>5245027023</t>
  </si>
  <si>
    <t>19-10-2015 00:00:00</t>
  </si>
  <si>
    <t>28815743</t>
  </si>
  <si>
    <t>ООО "КСК"</t>
  </si>
  <si>
    <t>5256122751</t>
  </si>
  <si>
    <t>25-09-2014 00:00:00</t>
  </si>
  <si>
    <t>04-05-2017 00:00:00</t>
  </si>
  <si>
    <t>28043750</t>
  </si>
  <si>
    <t>ООО "Княгининский Стройгаз"</t>
  </si>
  <si>
    <t>5217003648</t>
  </si>
  <si>
    <t>28455154</t>
  </si>
  <si>
    <t>ООО "Коммунсервис"</t>
  </si>
  <si>
    <t>5235007356</t>
  </si>
  <si>
    <t>31350312</t>
  </si>
  <si>
    <t>ООО "МНУЦ ВТИ"</t>
  </si>
  <si>
    <t>7709956215</t>
  </si>
  <si>
    <t>770901001</t>
  </si>
  <si>
    <t>26555644</t>
  </si>
  <si>
    <t>ООО "НЗ "СТАРТ"</t>
  </si>
  <si>
    <t>5262154550</t>
  </si>
  <si>
    <t>23-08-2006 00:00:00</t>
  </si>
  <si>
    <t>27567031</t>
  </si>
  <si>
    <t>ООО "НОРМА"</t>
  </si>
  <si>
    <t>5261015233</t>
  </si>
  <si>
    <t>19-12-2008 00:00:00</t>
  </si>
  <si>
    <t>31230061</t>
  </si>
  <si>
    <t>ООО "НТФ"</t>
  </si>
  <si>
    <t>5262360338</t>
  </si>
  <si>
    <t>03-12-2018 00:00:00</t>
  </si>
  <si>
    <t>31212674</t>
  </si>
  <si>
    <t>ООО "НТЦ"</t>
  </si>
  <si>
    <t>5223035415</t>
  </si>
  <si>
    <t>05-09-2018 00:00:00</t>
  </si>
  <si>
    <t>30-10-2018 00:00:00</t>
  </si>
  <si>
    <t>26555147</t>
  </si>
  <si>
    <t>ООО "Нижегородтеплогаз"</t>
  </si>
  <si>
    <t>5262068407</t>
  </si>
  <si>
    <t>26551993</t>
  </si>
  <si>
    <t>ООО "Нижновтеплоэнерго"</t>
  </si>
  <si>
    <t>5257079570</t>
  </si>
  <si>
    <t>02-08-2010 00:00:00</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</si>
  <si>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</si>
  <si>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</si>
  <si>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</si>
  <si>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</si>
  <si>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</si>
  <si>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</si>
  <si>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</si>
  <si>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</si>
  <si>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</si>
  <si>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</si>
  <si>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</si>
  <si>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</si>
  <si>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</si>
  <si>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31684742</t>
  </si>
  <si>
    <t>ООО "ПРОМТЕХ"</t>
  </si>
  <si>
    <t>5243040815</t>
  </si>
  <si>
    <t>01-06-2023 00:00:00</t>
  </si>
  <si>
    <t>31728851</t>
  </si>
  <si>
    <t>ООО "ПРОМЭЛ-СВЯЗЬ"</t>
  </si>
  <si>
    <t>5258035046</t>
  </si>
  <si>
    <t>19-01-2024 00:00:00</t>
  </si>
  <si>
    <t>31394997</t>
  </si>
  <si>
    <t>ООО "ПРОМЭНЕРГО ЛУКИНО"</t>
  </si>
  <si>
    <t>5244032285</t>
  </si>
  <si>
    <t>31461541</t>
  </si>
  <si>
    <t>ООО "ПРОФСТРОЙПРОЕКТ НН"</t>
  </si>
  <si>
    <t>5245012980</t>
  </si>
  <si>
    <t>28951517</t>
  </si>
  <si>
    <t>ООО "Поволжье - Ресурс"</t>
  </si>
  <si>
    <t>5209005539</t>
  </si>
  <si>
    <t>27719695</t>
  </si>
  <si>
    <t>ООО "ПримаЭнерго"</t>
  </si>
  <si>
    <t>5259069383</t>
  </si>
  <si>
    <t>24-05-2012 00:00:00</t>
  </si>
  <si>
    <t>26651300</t>
  </si>
  <si>
    <t>ООО "ПрофТепло"</t>
  </si>
  <si>
    <t>5202007216</t>
  </si>
  <si>
    <t>520201001</t>
  </si>
  <si>
    <t>28425154</t>
  </si>
  <si>
    <t>ООО "Профит"</t>
  </si>
  <si>
    <t>5262287335</t>
  </si>
  <si>
    <t>770301001</t>
  </si>
  <si>
    <t>11-11-2013 00:00:00</t>
  </si>
  <si>
    <t>26829810</t>
  </si>
  <si>
    <t>ООО "РАСКО-Энергосервис"</t>
  </si>
  <si>
    <t>5259033115</t>
  </si>
  <si>
    <t>19-05-2011 00:00:00</t>
  </si>
  <si>
    <t>30953148</t>
  </si>
  <si>
    <t>ООО "РЕМОНТНИК"</t>
  </si>
  <si>
    <t>5222071530</t>
  </si>
  <si>
    <t>31193125</t>
  </si>
  <si>
    <t>ООО "РИКОР ЭНЕРГО"</t>
  </si>
  <si>
    <t>5243036135</t>
  </si>
  <si>
    <t>524303613</t>
  </si>
  <si>
    <t>07-09-2018 00:00:00</t>
  </si>
  <si>
    <t>30884490</t>
  </si>
  <si>
    <t>ООО "РУССКИЙ СТАНДАРТ"</t>
  </si>
  <si>
    <t>5260403297</t>
  </si>
  <si>
    <t>12-01-2015 00:00:00</t>
  </si>
  <si>
    <t>31624417</t>
  </si>
  <si>
    <t>ООО "СЕВЕРНЫЕ КОММУНАЛЬНЫЕ СЕТИ"</t>
  </si>
  <si>
    <t>5235007589</t>
  </si>
  <si>
    <t>31222003</t>
  </si>
  <si>
    <t>ООО "СПЕЦИАЛИЗИРОВАННЫЙ ЗАСТРОЙЩИК "СПЕКТР"</t>
  </si>
  <si>
    <t>7716643855</t>
  </si>
  <si>
    <t>772201001</t>
  </si>
  <si>
    <t>26640583</t>
  </si>
  <si>
    <t>ООО "СТН-Энергосети"</t>
  </si>
  <si>
    <t>5260283448</t>
  </si>
  <si>
    <t>23-12-2010 00:00:00</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</si>
  <si>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</si>
  <si>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</si>
  <si>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</si>
  <si>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</si>
  <si>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</si>
  <si>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</si>
  <si>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</si>
  <si>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</si>
  <si>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</si>
  <si>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</si>
  <si>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</si>
  <si>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</si>
  <si>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</si>
  <si>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</si>
  <si>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</si>
  <si>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</si>
  <si>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</si>
  <si>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</si>
  <si>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27322384</t>
  </si>
  <si>
    <t>ООО "Сухобезводнинское ЖКХ"</t>
  </si>
  <si>
    <t>5228056070</t>
  </si>
  <si>
    <t>24-10-2011 00:00:00</t>
  </si>
  <si>
    <t>31196714</t>
  </si>
  <si>
    <t>ООО "ТЕПЛО ПЛЮС"</t>
  </si>
  <si>
    <t>5261113456</t>
  </si>
  <si>
    <t>31386831</t>
  </si>
  <si>
    <t>ООО "ТЕПЛОСТРОЙ"</t>
  </si>
  <si>
    <t>5260386637</t>
  </si>
  <si>
    <t>01-06-2022 00:00:00</t>
  </si>
  <si>
    <t>31614648</t>
  </si>
  <si>
    <t>ООО "ТЕХНОЛОГИКА"</t>
  </si>
  <si>
    <t>5249172857</t>
  </si>
  <si>
    <t>30376603</t>
  </si>
  <si>
    <t>ООО "ТК "Ждановский"</t>
  </si>
  <si>
    <t>5250047473</t>
  </si>
  <si>
    <t>28424890</t>
  </si>
  <si>
    <t>ООО "ТЭК"</t>
  </si>
  <si>
    <t>5262291250</t>
  </si>
  <si>
    <t>28460888</t>
  </si>
  <si>
    <t>ООО "Тепловик"</t>
  </si>
  <si>
    <t>5246043606</t>
  </si>
  <si>
    <t>23-01-2014 00:00:00</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</si>
  <si>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</si>
  <si>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</si>
  <si>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</si>
  <si>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</si>
  <si>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</si>
  <si>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</si>
  <si>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</si>
  <si>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</si>
  <si>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</si>
  <si>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</si>
  <si>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</si>
  <si>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</si>
  <si>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</si>
  <si>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</si>
  <si>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</si>
  <si>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</si>
  <si>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</si>
  <si>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</si>
  <si>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</si>
  <si>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</si>
  <si>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</si>
  <si>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</si>
  <si>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</si>
  <si>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31520267</t>
  </si>
  <si>
    <t>ООО "УК ТЭСК"</t>
  </si>
  <si>
    <t>7730254681</t>
  </si>
  <si>
    <t>773001001</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</si>
  <si>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</si>
  <si>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</si>
  <si>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</si>
  <si>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</si>
  <si>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</si>
  <si>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</si>
  <si>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</si>
  <si>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</si>
  <si>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</si>
  <si>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</si>
  <si>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</si>
  <si>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</si>
  <si>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30437014</t>
  </si>
  <si>
    <t>ООО "ЭКОТЕПЛОСЕРВИС-КСТОВО"</t>
  </si>
  <si>
    <t>5260393708</t>
  </si>
  <si>
    <t>30830889</t>
  </si>
  <si>
    <t>ООО "ЭЛКОСТ"</t>
  </si>
  <si>
    <t>5257141193</t>
  </si>
  <si>
    <t>01-07-2016 00:00:00</t>
  </si>
  <si>
    <t>30871726</t>
  </si>
  <si>
    <t>ООО "ЭНЕРГИЯ"</t>
  </si>
  <si>
    <t>5259125630</t>
  </si>
  <si>
    <t>18-08-2016 00:00:00</t>
  </si>
  <si>
    <t>20-01-2017 00:00:00</t>
  </si>
  <si>
    <t>27599100</t>
  </si>
  <si>
    <t>ООО "ЭкоТеплоСервис-Семенов"</t>
  </si>
  <si>
    <t>5228055662</t>
  </si>
  <si>
    <t>30-01-2012 00:00:00</t>
  </si>
  <si>
    <t>28053587</t>
  </si>
  <si>
    <t>ООО "ЭкоТеплосервис-Шахунья"</t>
  </si>
  <si>
    <t>5239009837</t>
  </si>
  <si>
    <t>26358455</t>
  </si>
  <si>
    <t>ООО "Энергосервис"</t>
  </si>
  <si>
    <t>5260178764</t>
  </si>
  <si>
    <t>26358378</t>
  </si>
  <si>
    <t>ООО Агрофирма "Павловская"</t>
  </si>
  <si>
    <t>5252011169</t>
  </si>
  <si>
    <t>26506413</t>
  </si>
  <si>
    <t>ООО НПО "Мехинструмент"</t>
  </si>
  <si>
    <t>5252024087</t>
  </si>
  <si>
    <t>28875534</t>
  </si>
  <si>
    <t>ООО ПКФ "ТЕПЛО"</t>
  </si>
  <si>
    <t>5251009953</t>
  </si>
  <si>
    <t>525101001</t>
  </si>
  <si>
    <t>01-02-2015 00:00:00</t>
  </si>
  <si>
    <t>26358079</t>
  </si>
  <si>
    <t>ООО ФИРМА "МУХТОЛОВСКАЯ СПЕЦОДЕЖДА"</t>
  </si>
  <si>
    <t>5201000867</t>
  </si>
  <si>
    <t>31390562</t>
  </si>
  <si>
    <t>ООО"КС-ТВК"</t>
  </si>
  <si>
    <t>5244014078</t>
  </si>
  <si>
    <t>26358459</t>
  </si>
  <si>
    <t>ПАО "ЗИП"</t>
  </si>
  <si>
    <t>5260900066</t>
  </si>
  <si>
    <t>05-09-2006 00:00:00</t>
  </si>
  <si>
    <t>26322338</t>
  </si>
  <si>
    <t>ПАО "ЗМЗ"</t>
  </si>
  <si>
    <t>5248004137</t>
  </si>
  <si>
    <t>26322359</t>
  </si>
  <si>
    <t>ПАО "Завод "Красное Сормово"</t>
  </si>
  <si>
    <t>5263006629</t>
  </si>
  <si>
    <t>26358466</t>
  </si>
  <si>
    <t>ПАО "НИТЕЛ"</t>
  </si>
  <si>
    <t>5261001745</t>
  </si>
  <si>
    <t>29-10-1992 00:00:00</t>
  </si>
  <si>
    <t>31596848</t>
  </si>
  <si>
    <t>ПАО "ОАК"</t>
  </si>
  <si>
    <t>7708619320</t>
  </si>
  <si>
    <t>770501001</t>
  </si>
  <si>
    <t>26380702</t>
  </si>
  <si>
    <t>ПАО "ПАВЛОВСКИЙ АВТОБУС"</t>
  </si>
  <si>
    <t>5252000350</t>
  </si>
  <si>
    <t>26358361</t>
  </si>
  <si>
    <t>ПАО "Павловский завод им.Кирова"</t>
  </si>
  <si>
    <t>5252000382</t>
  </si>
  <si>
    <t>27805620</t>
  </si>
  <si>
    <t>ПО "Техсервис"</t>
  </si>
  <si>
    <t>5219005665</t>
  </si>
  <si>
    <t>31724888</t>
  </si>
  <si>
    <t>Прудовское МУП ЖКХ</t>
  </si>
  <si>
    <t>5228059000</t>
  </si>
  <si>
    <t>17-11-2023 00:00:00</t>
  </si>
  <si>
    <t>26358256</t>
  </si>
  <si>
    <t>Пуреховское МУП ЖКХ</t>
  </si>
  <si>
    <t>5236002880</t>
  </si>
  <si>
    <t>26358149</t>
  </si>
  <si>
    <t>СПК "Хохлома"</t>
  </si>
  <si>
    <t>5218000784</t>
  </si>
  <si>
    <t>521801001</t>
  </si>
  <si>
    <t>27372109</t>
  </si>
  <si>
    <t>Суроватихинское МУМПЖКХ</t>
  </si>
  <si>
    <t>5215000722</t>
  </si>
  <si>
    <t>31612520</t>
  </si>
  <si>
    <t>УФСБ РОССИИ ПО НИЖЕГОРОДСКОЙ ОБЛАСТИ</t>
  </si>
  <si>
    <t>5260051260</t>
  </si>
  <si>
    <t>01-11-2022 00:00:00</t>
  </si>
  <si>
    <t>31025414</t>
  </si>
  <si>
    <t>ФГБУ "ЦЖКУ" МИНОБОРОНЫ РОССИИ</t>
  </si>
  <si>
    <t>7729314745</t>
  </si>
  <si>
    <t>526245001</t>
  </si>
  <si>
    <t>01-04-2017 00:00:00</t>
  </si>
  <si>
    <t>26768505</t>
  </si>
  <si>
    <t>ФГУП "РФЯЦ-ВНИИЭФ"</t>
  </si>
  <si>
    <t>5254001230</t>
  </si>
  <si>
    <t>07-02-2011 00:00:00</t>
  </si>
  <si>
    <t>26555503</t>
  </si>
  <si>
    <t>ФГУП "Российская телевизионная и радиовещательная сеть"</t>
  </si>
  <si>
    <t>7717127211</t>
  </si>
  <si>
    <t>526202001</t>
  </si>
  <si>
    <t>01-01-2009 00:00:00</t>
  </si>
  <si>
    <t>26322363</t>
  </si>
  <si>
    <t>ФКП "Завод имени Я.М. Свердлова"</t>
  </si>
  <si>
    <t>5249002485</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</si>
  <si>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</si>
  <si>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</si>
  <si>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</si>
  <si>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</si>
  <si>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</si>
  <si>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</si>
  <si>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</si>
  <si>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27577557</t>
  </si>
  <si>
    <t>ФКУ ИК-7 ГУФСИН РОССИИ ПО НИЖЕГОРОДСКОЙ ОБЛАСТИ</t>
  </si>
  <si>
    <t>5207002317</t>
  </si>
  <si>
    <t>27967274</t>
  </si>
  <si>
    <t>ФКУ КП-15 ГУФСИН России по Нижегородской области</t>
  </si>
  <si>
    <t>5206002113</t>
  </si>
  <si>
    <t>26358151</t>
  </si>
  <si>
    <t>ФКУ ЛИУ-3 ГУФСИН РОССИИ ПО НИЖЕГОРОДСКОЙ ОБЛАСТИ</t>
  </si>
  <si>
    <t>5219004125</t>
  </si>
  <si>
    <t>21-03-2011 00:00:00</t>
  </si>
  <si>
    <t>28942868</t>
  </si>
  <si>
    <t>Филиал "Нижегородский" ПАО "Т ПЛЮС"</t>
  </si>
  <si>
    <t>6315376946</t>
  </si>
  <si>
    <t>526043001</t>
  </si>
  <si>
    <t>20-03-2015 00:00:00</t>
  </si>
  <si>
    <t>Комбинированная выработка :: Сбыт :: Передача</t>
  </si>
  <si>
    <t>/Тепловая энергия/Производство/Комбинированная выработка :: /Тепловая энергия/Сбыт :: /Тепловая энергия/Передача</t>
  </si>
  <si>
    <t>01-01-2016 00:00:00</t>
  </si>
  <si>
    <t>26358439</t>
  </si>
  <si>
    <t>Филиал ООО "Газпром трансгаз Нижний Новгород" - Семеновское ЛПУ МГ</t>
  </si>
  <si>
    <t>5260080007</t>
  </si>
  <si>
    <t>522802001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</si>
  <si>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</si>
  <si>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</si>
  <si>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</si>
  <si>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</si>
  <si>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</si>
  <si>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</si>
  <si>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19-03-2020 00:00:00</t>
  </si>
  <si>
    <t>02-11-2023 00:00:00</t>
  </si>
  <si>
    <t>Оказание услуг в сфере горячего водоснабжения</t>
  </si>
  <si>
    <t>Сбыт :: Производство :: Транспортировка</t>
  </si>
  <si>
    <t>/ГВС/Сбыт :: /ГВС/Производство :: /ГВС/Транспортировка</t>
  </si>
  <si>
    <t>01-04-2019 00:00:00</t>
  </si>
  <si>
    <t>01-08-2019 00:00:00</t>
  </si>
  <si>
    <t>Поставка горячей воды</t>
  </si>
  <si>
    <t>/ГВС/Транспортировка</t>
  </si>
  <si>
    <t>Производство</t>
  </si>
  <si>
    <t>/ГВС/Производство</t>
  </si>
  <si>
    <t>Сбыт :: Транспортировка</t>
  </si>
  <si>
    <t>/ГВС/Сбыт :: /ГВС/Транспортировка</t>
  </si>
  <si>
    <t>Производство :: Транспортировка</t>
  </si>
  <si>
    <t>/ГВС/Производство :: /ГВС/Транспортировка</t>
  </si>
  <si>
    <t>Сбыт</t>
  </si>
  <si>
    <t>/ГВС/Сбыт</t>
  </si>
  <si>
    <t>Сбыт :: Производство</t>
  </si>
  <si>
    <t>/ГВС/Сбыт :: /ГВС/Производство</t>
  </si>
  <si>
    <t>01-07-2019 00:00:00</t>
  </si>
  <si>
    <t>02-01-2024 00:00:00</t>
  </si>
  <si>
    <t>01-10-2020 00:00:00</t>
  </si>
  <si>
    <t>06-02-2018 00:00:00</t>
  </si>
  <si>
    <t>27569496</t>
  </si>
  <si>
    <t>АО "БЭТ"</t>
  </si>
  <si>
    <t>7708669867</t>
  </si>
  <si>
    <t>770801001</t>
  </si>
  <si>
    <t>11-01-2012 00:00:00</t>
  </si>
  <si>
    <t>Оказание услуг в сфере водоснабжения</t>
  </si>
  <si>
    <t>Подвоз воды :: Техническая :: Питьевая :: Техническая :: Питьевая :: Техническая :: Питьевая :: Очистка</t>
  </si>
  <si>
    <t>/ХВС/Подвоз воды :: /ХВС/Сбыт/Техническая :: /ХВС/Сбыт/Питьевая :: /ХВС/Транспортировка/Техническая :: /ХВС/Транспортировка/Питьевая :: /ХВС/Производство/Техническая :: /ХВС/Производство/Питьевая :: /ХВС/Очистка</t>
  </si>
  <si>
    <t>26373603</t>
  </si>
  <si>
    <t>АО "Борский водоканал"</t>
  </si>
  <si>
    <t>5246035757</t>
  </si>
  <si>
    <t>Питьевая :: Питьевая :: Питьевая</t>
  </si>
  <si>
    <t>/ХВС/Сбыт/Питьевая :: /ХВС/Транспортировка/Питьевая :: /ХВС/Производство/Питьевая</t>
  </si>
  <si>
    <t>Транспортировка воды</t>
  </si>
  <si>
    <t>31342493</t>
  </si>
  <si>
    <t>АО "ВЫКСУНСКИЙ ВОДОКАНАЛ"</t>
  </si>
  <si>
    <t>5247055210</t>
  </si>
  <si>
    <t>Техническая :: Техническая :: Техническая</t>
  </si>
  <si>
    <t>/ХВС/Сбыт/Техническая :: /ХВС/Транспортировка/Техническая :: /ХВС/Производство/Техническая</t>
  </si>
  <si>
    <t>26373632</t>
  </si>
  <si>
    <t>АО "ДВК"</t>
  </si>
  <si>
    <t>5260154749</t>
  </si>
  <si>
    <t>14-10-2010 00:00:00</t>
  </si>
  <si>
    <t>28158144</t>
  </si>
  <si>
    <t>АО "ИП "Ока-Полимер"</t>
  </si>
  <si>
    <t>5249120810</t>
  </si>
  <si>
    <t>Техническая</t>
  </si>
  <si>
    <t>/ХВС/Сбыт/Техническая</t>
  </si>
  <si>
    <t>26555226</t>
  </si>
  <si>
    <t>АО "ЛИНДОВСКОЕ"</t>
  </si>
  <si>
    <t>5246000377</t>
  </si>
  <si>
    <t>01-12-2021 00:00:00</t>
  </si>
  <si>
    <t>Техническая :: Питьевая</t>
  </si>
  <si>
    <t>/ХВС/Производство/Техническая :: /ХВС/Производство/Питьевая</t>
  </si>
  <si>
    <t>26373662</t>
  </si>
  <si>
    <t>АО "НИЖЕГОРОДСКИЙ ВОДОКАНАЛ"</t>
  </si>
  <si>
    <t>5257086827</t>
  </si>
  <si>
    <t>Техническая :: Питьевая :: Техническая :: Питьевая :: Техническая :: Питьевая :: Очистка</t>
  </si>
  <si>
    <t>/ХВС/Сбыт/Техническая :: /ХВС/Сбыт/Питьевая :: /ХВС/Транспортировка/Техническая :: /ХВС/Транспортировка/Питьевая :: /ХВС/Производство/Техническая :: /ХВС/Производство/Питьевая :: /ХВС/Очистка</t>
  </si>
  <si>
    <t>26358290</t>
  </si>
  <si>
    <t>АО "НПО "ПРЗ"</t>
  </si>
  <si>
    <t>5244012779</t>
  </si>
  <si>
    <t>27579751</t>
  </si>
  <si>
    <t>АО "НПП "Исток" им. Шокина"</t>
  </si>
  <si>
    <t>5050108496</t>
  </si>
  <si>
    <t>520243001</t>
  </si>
  <si>
    <t>07-02-1992 00:00:00</t>
  </si>
  <si>
    <t>26358461</t>
  </si>
  <si>
    <t>АО "ТРАНСНЕФТЬ-ВЕРХНЯЯ ВОЛГА"</t>
  </si>
  <si>
    <t>5260900725</t>
  </si>
  <si>
    <t>31656238</t>
  </si>
  <si>
    <t>АО "УМР-10"</t>
  </si>
  <si>
    <t>5247003902</t>
  </si>
  <si>
    <t>01-03-2023 00:00:00</t>
  </si>
  <si>
    <t>/ХВС/Производство/Техническая</t>
  </si>
  <si>
    <t>26373555</t>
  </si>
  <si>
    <t>Беловское МУП ЖКХ</t>
  </si>
  <si>
    <t>5236002745</t>
  </si>
  <si>
    <t>26373435</t>
  </si>
  <si>
    <t>Белозеровское МУМППЖКХ</t>
  </si>
  <si>
    <t>5215000779</t>
  </si>
  <si>
    <t>30-06-2006 00:00:00</t>
  </si>
  <si>
    <t>26358261</t>
  </si>
  <si>
    <t>ГБУ "Понетаевский ПНИ"</t>
  </si>
  <si>
    <t>5238001923</t>
  </si>
  <si>
    <t>01-01-2008 00:00:00</t>
  </si>
  <si>
    <t>26358130</t>
  </si>
  <si>
    <t>Дубравское МУМППЖКХ</t>
  </si>
  <si>
    <t>5215000842</t>
  </si>
  <si>
    <t>26358258</t>
  </si>
  <si>
    <t>Катунское МУП ЖКХ</t>
  </si>
  <si>
    <t>5236004975</t>
  </si>
  <si>
    <t>27577808</t>
  </si>
  <si>
    <t>МКП "Веткомхоз"</t>
  </si>
  <si>
    <t>5213005115</t>
  </si>
  <si>
    <t>28005236</t>
  </si>
  <si>
    <t>МКП "Исток"</t>
  </si>
  <si>
    <t>5213005122</t>
  </si>
  <si>
    <t>31-12-2023 00:00:00</t>
  </si>
  <si>
    <t>27577824</t>
  </si>
  <si>
    <t>МКП "Покровский водоканал"</t>
  </si>
  <si>
    <t>5213005108</t>
  </si>
  <si>
    <t>27574144</t>
  </si>
  <si>
    <t>МКП "Родник"</t>
  </si>
  <si>
    <t>5213005066</t>
  </si>
  <si>
    <t>26951753</t>
  </si>
  <si>
    <t>МКП "Ручеек"</t>
  </si>
  <si>
    <t>5213005098</t>
  </si>
  <si>
    <t>26373534</t>
  </si>
  <si>
    <t>МП "Водоканал"</t>
  </si>
  <si>
    <t>5229007453</t>
  </si>
  <si>
    <t>04-05-2007 00:00:00</t>
  </si>
  <si>
    <t>Питьевая</t>
  </si>
  <si>
    <t>/ХВС/Производство/Питьевая</t>
  </si>
  <si>
    <t>26373588</t>
  </si>
  <si>
    <t>5240003928</t>
  </si>
  <si>
    <t>524001001</t>
  </si>
  <si>
    <t>26373443</t>
  </si>
  <si>
    <t>МП "ДИВЕЕВСКОЕ ЖКХ"</t>
  </si>
  <si>
    <t>5216017133</t>
  </si>
  <si>
    <t>Питьевая :: Питьевая</t>
  </si>
  <si>
    <t>/ХВС/Сбыт/Питьевая :: /ХВС/Производство/Питьевая</t>
  </si>
  <si>
    <t>31020386</t>
  </si>
  <si>
    <t>МП КРАСНООКТЯБРЬСКОГО МО НО "КОММУНАЛЬНАЯ СЛУЖБА"</t>
  </si>
  <si>
    <t>5220007353</t>
  </si>
  <si>
    <t>522001001</t>
  </si>
  <si>
    <t>16-11-2016 00:00:00</t>
  </si>
  <si>
    <t>/ХВС/Транспортировка/Техническая :: /ХВС/Транспортировка/Питьевая</t>
  </si>
  <si>
    <t>31332830</t>
  </si>
  <si>
    <t>МУМППЖКХ КУЖУТСКОЕ</t>
  </si>
  <si>
    <t>5215003498</t>
  </si>
  <si>
    <t>/ХВС/Транспортировка/Питьевая</t>
  </si>
  <si>
    <t>26373565</t>
  </si>
  <si>
    <t>МУП "Архангельское ЖКХ"</t>
  </si>
  <si>
    <t>5238005879</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</si>
  <si>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</si>
  <si>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</si>
  <si>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</si>
  <si>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</si>
  <si>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</si>
  <si>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</si>
  <si>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</si>
  <si>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</si>
  <si>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</si>
  <si>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/ХВС/Транспортировка/Питьевая :: /ХВС/Производство/Питьевая</t>
  </si>
  <si>
    <t>31089905</t>
  </si>
  <si>
    <t>МУП "ВОДОСНАБЖЕНИЕ"</t>
  </si>
  <si>
    <t>5207016750</t>
  </si>
  <si>
    <t>28-04-2018 00:00:00</t>
  </si>
  <si>
    <t>/ХВС/Сбыт/Питьевая</t>
  </si>
  <si>
    <t>31382274</t>
  </si>
  <si>
    <t>МУП "ВОСХОД-ЖКХ"</t>
  </si>
  <si>
    <t>5201001934</t>
  </si>
  <si>
    <t>31559074</t>
  </si>
  <si>
    <t>МУП "Ветлугаводоканал"</t>
  </si>
  <si>
    <t>5235008470</t>
  </si>
  <si>
    <t>16-01-2015 00:00:00</t>
  </si>
  <si>
    <t>26373571</t>
  </si>
  <si>
    <t>МУП "Восход"</t>
  </si>
  <si>
    <t>5238005808</t>
  </si>
  <si>
    <t>26358264</t>
  </si>
  <si>
    <t>МУП "ГАРАНТ-ЖКХ"</t>
  </si>
  <si>
    <t>5238005477</t>
  </si>
  <si>
    <t>26373661</t>
  </si>
  <si>
    <t>МУП "Горводоканал"</t>
  </si>
  <si>
    <t>5254005971</t>
  </si>
  <si>
    <t>28447754</t>
  </si>
  <si>
    <t>МУП "Городской Водоканал"</t>
  </si>
  <si>
    <t>5250058789</t>
  </si>
  <si>
    <t>27371762</t>
  </si>
  <si>
    <t>МУП "Городской жилфонд"</t>
  </si>
  <si>
    <t>5226013748</t>
  </si>
  <si>
    <t>26358330</t>
  </si>
  <si>
    <t>МУП "ЖКХ Ковригинское"</t>
  </si>
  <si>
    <t>5248015690</t>
  </si>
  <si>
    <t>Техническая :: Питьевая :: Питьевая :: Питьевая</t>
  </si>
  <si>
    <t>/ХВС/Сбыт/Техническая :: /ХВС/Сбыт/Питьевая :: /ХВС/Транспортировка/Питьевая :: /ХВС/Производство/Питьевая</t>
  </si>
  <si>
    <t>26358327</t>
  </si>
  <si>
    <t>МУП "ЖКХ Смольковское"</t>
  </si>
  <si>
    <t>5248015650</t>
  </si>
  <si>
    <t>31269985</t>
  </si>
  <si>
    <t>МУП "КОММУНСЕРВИС"</t>
  </si>
  <si>
    <t>5237003886</t>
  </si>
  <si>
    <t>26373446</t>
  </si>
  <si>
    <t>МУП "Княгининское ЖКХ"</t>
  </si>
  <si>
    <t>5217000037</t>
  </si>
  <si>
    <t>26373584</t>
  </si>
  <si>
    <t>МУП "Ком-сервис"</t>
  </si>
  <si>
    <t>5238005815</t>
  </si>
  <si>
    <t>31434482</t>
  </si>
  <si>
    <t>МУП "ЛУКОЯНОВВОДОКАНАЛ"</t>
  </si>
  <si>
    <t>5221007331</t>
  </si>
  <si>
    <t>/ХВС/Сбыт/Питьевая :: /ХВС/Транспортировка/Питьевая</t>
  </si>
  <si>
    <t>Питьевая :: Питьевая :: Питьевая :: Очистка</t>
  </si>
  <si>
    <t>/ХВС/Сбыт/Питьевая :: /ХВС/Транспортировка/Питьевая :: /ХВС/Производство/Питьевая :: /ХВС/Очистка</t>
  </si>
  <si>
    <t>26358266</t>
  </si>
  <si>
    <t>МУП "ПРАКТИК"</t>
  </si>
  <si>
    <t>5238005533</t>
  </si>
  <si>
    <t>26373647</t>
  </si>
  <si>
    <t>МУП "Райводоканал"</t>
  </si>
  <si>
    <t>5251007667</t>
  </si>
  <si>
    <t>16-11-2001 00:00:00</t>
  </si>
  <si>
    <t>26358226</t>
  </si>
  <si>
    <t>МУП "СПАССКОЕ ЖКХ"</t>
  </si>
  <si>
    <t>5232002977</t>
  </si>
  <si>
    <t>26358268</t>
  </si>
  <si>
    <t>МУП "Смирновец"</t>
  </si>
  <si>
    <t>5238005558</t>
  </si>
  <si>
    <t>26373596</t>
  </si>
  <si>
    <t>МУП "УВКХ"</t>
  </si>
  <si>
    <t>5245013020</t>
  </si>
  <si>
    <t>31566194</t>
  </si>
  <si>
    <t>МУП "УРЕНСКИЕ ТЕПЛОВЫЕ СЕТИ" УРЕНСКОГО МУНИЦИПАЛЬНОГО ОКРУГА НИЖЕГОРОДСКОЙ ОБЛАСТИ</t>
  </si>
  <si>
    <t>5235006634</t>
  </si>
  <si>
    <t>25-10-2016 00:00:00</t>
  </si>
  <si>
    <t>27571975</t>
  </si>
  <si>
    <t>МУП "Шеманихинское ЖКХ"</t>
  </si>
  <si>
    <t>5219383106</t>
  </si>
  <si>
    <t>31082135</t>
  </si>
  <si>
    <t>МУП "ЮГАНЕЦКОЕ"</t>
  </si>
  <si>
    <t>5214011834</t>
  </si>
  <si>
    <t>26555489</t>
  </si>
  <si>
    <t>МУП ЖКХ "Тепелевское"</t>
  </si>
  <si>
    <t>5215001797</t>
  </si>
  <si>
    <t>13-10-2009 00:00:00</t>
  </si>
  <si>
    <t>26373600</t>
  </si>
  <si>
    <t>МУП п. Буревестник</t>
  </si>
  <si>
    <t>5245012411</t>
  </si>
  <si>
    <t>26358129</t>
  </si>
  <si>
    <t>Малопицкое МУМППЖКХ</t>
  </si>
  <si>
    <t>5215000761</t>
  </si>
  <si>
    <t>29-06-2006 00:00:00</t>
  </si>
  <si>
    <t>26358124</t>
  </si>
  <si>
    <t>Нижегородское МУМППЖКХ</t>
  </si>
  <si>
    <t>5215000391</t>
  </si>
  <si>
    <t>27367624</t>
  </si>
  <si>
    <t>ОАО "Агрофирма "Птицефабрика Сеймовская"</t>
  </si>
  <si>
    <t>5214002050</t>
  </si>
  <si>
    <t>Техническая :: Питьевая :: Техническая :: Питьевая :: Техническая :: Питьевая</t>
  </si>
  <si>
    <t>/ХВС/Сбыт/Техническая :: /ХВС/Сбыт/Питьевая :: /ХВС/Транспортировка/Техническая :: /ХВС/Транспортировка/Питьевая :: /ХВС/Производство/Техническая :: /ХВС/Производство/Питьевая</t>
  </si>
  <si>
    <t>26358321</t>
  </si>
  <si>
    <t>ОАО "ПАНСИОНАТ "БУРЕВЕСТНИК"</t>
  </si>
  <si>
    <t>5248005892</t>
  </si>
  <si>
    <t>26373589</t>
  </si>
  <si>
    <t>ООО "АРЗАМАССКИЙ ВОДОКАНАЛ"</t>
  </si>
  <si>
    <t>5243027892</t>
  </si>
  <si>
    <t>24-02-2010 00:00:00</t>
  </si>
  <si>
    <t>26758117</t>
  </si>
  <si>
    <t>ООО "АкваКом"</t>
  </si>
  <si>
    <t>5228056218</t>
  </si>
  <si>
    <t>31-01-2011 00:00:00</t>
  </si>
  <si>
    <t>31457245</t>
  </si>
  <si>
    <t>ООО "ВЫБОР СТРОЙ НН"</t>
  </si>
  <si>
    <t>5245025241</t>
  </si>
  <si>
    <t>26555487</t>
  </si>
  <si>
    <t>ООО "ВоСток-ДК"</t>
  </si>
  <si>
    <t>5215001638</t>
  </si>
  <si>
    <t>31448393</t>
  </si>
  <si>
    <t>ООО "ДВК ИЛЬИНОГОРСКИЙ"</t>
  </si>
  <si>
    <t>7203492777</t>
  </si>
  <si>
    <t>720301001</t>
  </si>
  <si>
    <t>26373659</t>
  </si>
  <si>
    <t>ООО "ЖКХ Ярымово"</t>
  </si>
  <si>
    <t>5252022562</t>
  </si>
  <si>
    <t>31205498</t>
  </si>
  <si>
    <t>ООО "ЗАГОРОДНАЯ СЕРВИСНАЯ СЛУЖБА"</t>
  </si>
  <si>
    <t>5245018396</t>
  </si>
  <si>
    <t>26562570</t>
  </si>
  <si>
    <t>ООО "Заводские сети"</t>
  </si>
  <si>
    <t>5256049340</t>
  </si>
  <si>
    <t>16-09-2010 00:00:00</t>
  </si>
  <si>
    <t>31434354</t>
  </si>
  <si>
    <t>ООО "ИНЖЕНЕРНЫЕ СЕТИ-ОРГСТЕКЛО"</t>
  </si>
  <si>
    <t>5249171412</t>
  </si>
  <si>
    <t>27566780</t>
  </si>
  <si>
    <t>ООО "Коммунальщик"</t>
  </si>
  <si>
    <t>5245017794</t>
  </si>
  <si>
    <t>27634860</t>
  </si>
  <si>
    <t>5260262462</t>
  </si>
  <si>
    <t>01-10-2012 00:00:00</t>
  </si>
  <si>
    <t>27886941</t>
  </si>
  <si>
    <t>ООО "Кузьмиярское"</t>
  </si>
  <si>
    <t>5211759413</t>
  </si>
  <si>
    <t>26795557</t>
  </si>
  <si>
    <t>ООО "Локал-Клининг"</t>
  </si>
  <si>
    <t>5248023556</t>
  </si>
  <si>
    <t>31322304</t>
  </si>
  <si>
    <t>ООО "Нижегородские технологии водопользования"</t>
  </si>
  <si>
    <t>5262360049</t>
  </si>
  <si>
    <t>Подвоз воды :: Питьевая</t>
  </si>
  <si>
    <t>/ХВС/Подвоз воды :: /ХВС/Транспортировка/Питьевая</t>
  </si>
  <si>
    <t>31187885</t>
  </si>
  <si>
    <t>ООО "РАЙВОДОКАНАЛ"</t>
  </si>
  <si>
    <t>5243037996</t>
  </si>
  <si>
    <t>28985128</t>
  </si>
  <si>
    <t>ООО "РВК"</t>
  </si>
  <si>
    <t>5249135284</t>
  </si>
  <si>
    <t>01-09-2014 00:00:00</t>
  </si>
  <si>
    <t>30949304</t>
  </si>
  <si>
    <t>ООО "РДУ"</t>
  </si>
  <si>
    <t>5249122133</t>
  </si>
  <si>
    <t>26570488</t>
  </si>
  <si>
    <t>ООО "Райводоканал"</t>
  </si>
  <si>
    <t>5201030090</t>
  </si>
  <si>
    <t>12-01-2009 00:00:00</t>
  </si>
  <si>
    <t>26650748</t>
  </si>
  <si>
    <t>ООО "РегионРесурс"</t>
  </si>
  <si>
    <t>5252023559</t>
  </si>
  <si>
    <t>31560142</t>
  </si>
  <si>
    <t>ООО "ТРАНЗИТ РВ"</t>
  </si>
  <si>
    <t>5249175449</t>
  </si>
  <si>
    <t>01-04-2022 00:00:00</t>
  </si>
  <si>
    <t>/ХВС/Транспортировка/Техническая</t>
  </si>
  <si>
    <t>31354953</t>
  </si>
  <si>
    <t>ООО "УК "КОМИНТЕРН"</t>
  </si>
  <si>
    <t>5214013704</t>
  </si>
  <si>
    <t>31460120</t>
  </si>
  <si>
    <t>ООО "ЭКСПРЕСС"</t>
  </si>
  <si>
    <t>5260130850</t>
  </si>
  <si>
    <t>01-09-2021 00:00:00</t>
  </si>
  <si>
    <t>Техническая :: Техническая :: Очистка</t>
  </si>
  <si>
    <t>/ХВС/Транспортировка/Техническая :: /ХВС/Производство/Техническая :: /ХВС/Очистка</t>
  </si>
  <si>
    <t>27673406</t>
  </si>
  <si>
    <t>ООО "Экоин - НОРСИ"</t>
  </si>
  <si>
    <t>5250038535</t>
  </si>
  <si>
    <t>31418831</t>
  </si>
  <si>
    <t>ООО"ВКС"</t>
  </si>
  <si>
    <t>5210002099</t>
  </si>
  <si>
    <t>521001001</t>
  </si>
  <si>
    <t>17-10-2022 00:00:00</t>
  </si>
  <si>
    <t>26555480</t>
  </si>
  <si>
    <t>СПК "Колхоз Искра"</t>
  </si>
  <si>
    <t>5245023484</t>
  </si>
  <si>
    <t>26358126</t>
  </si>
  <si>
    <t>Сарлейское МУМППЖКХ</t>
  </si>
  <si>
    <t>5215000507</t>
  </si>
  <si>
    <t>24-03-2006 00:00:00</t>
  </si>
  <si>
    <t>26373561</t>
  </si>
  <si>
    <t>Соломатовское МУП ЖКХ</t>
  </si>
  <si>
    <t>5236006683</t>
  </si>
  <si>
    <t>Техническая :: Питьевая :: Питьевая :: Техническая :: Питьевая</t>
  </si>
  <si>
    <t>/ХВС/Сбыт/Техническая :: /ХВС/Сбыт/Питьевая :: /ХВС/Транспортировка/Питьевая :: /ХВС/Производство/Техническая :: /ХВС/Производство/Питьевая</t>
  </si>
  <si>
    <t>Оказание услуг в сфере водоотведения и очистки сточных вод</t>
  </si>
  <si>
    <t>Прием сточных вод :: Очистка сточных вод :: Транспортировка сточных вод</t>
  </si>
  <si>
    <t>/ВО/Прием сточных вод :: /ВО/Очистка сточных вод :: /ВО/Транспортировка сточных вод</t>
  </si>
  <si>
    <t>26358301</t>
  </si>
  <si>
    <t>АО "Борская фабрика ПОШ"</t>
  </si>
  <si>
    <t>5246000458</t>
  </si>
  <si>
    <t>01-08-2021 00:00:00</t>
  </si>
  <si>
    <t>Оказание услуг по перекачке</t>
  </si>
  <si>
    <t>Транспортировка сточных вод</t>
  </si>
  <si>
    <t>/ВО/Транспортировка сточных вод</t>
  </si>
  <si>
    <t>26380704</t>
  </si>
  <si>
    <t>АО "ПО" ГОРИЗОНТ"</t>
  </si>
  <si>
    <t>5252000417</t>
  </si>
  <si>
    <t>08-06-2016 00:00:00</t>
  </si>
  <si>
    <t>28954052</t>
  </si>
  <si>
    <t>АО "САПТ"</t>
  </si>
  <si>
    <t>5231000751</t>
  </si>
  <si>
    <t>Оказание услуг в сфере очистки сточных вод</t>
  </si>
  <si>
    <t>Очистка сточных вод</t>
  </si>
  <si>
    <t>/ВО/Очистка сточных вод</t>
  </si>
  <si>
    <t>Оказание услуг в сфере водоотведения</t>
  </si>
  <si>
    <t>Прием сточных вод :: Транспортировка сточных вод</t>
  </si>
  <si>
    <t>/ВО/Прием сточных вод :: /ВО/Транспортировка сточных вод</t>
  </si>
  <si>
    <t>28053932</t>
  </si>
  <si>
    <t>ИП Фуфина Н.В.</t>
  </si>
  <si>
    <t>524400027272</t>
  </si>
  <si>
    <t>26557167</t>
  </si>
  <si>
    <t>МП "Горводоканал"</t>
  </si>
  <si>
    <t>5228009994</t>
  </si>
  <si>
    <t>18-08-2010 00:00:00</t>
  </si>
  <si>
    <t>31250368</t>
  </si>
  <si>
    <t>МП "КАНСТОК"</t>
  </si>
  <si>
    <t>5251011159</t>
  </si>
  <si>
    <t>01-02-2019 00:00:00</t>
  </si>
  <si>
    <t>01-10-2023 00:00:00</t>
  </si>
  <si>
    <t>31-12-2028 00:00:00</t>
  </si>
  <si>
    <t>26557653</t>
  </si>
  <si>
    <t>МУП "БОС"</t>
  </si>
  <si>
    <t>5222005009</t>
  </si>
  <si>
    <t>Прием сточных вод :: Очистка сточных вод</t>
  </si>
  <si>
    <t>/ВО/Прием сточных вод :: /ВО/Очистка сточных вод</t>
  </si>
  <si>
    <t>Очистка сточных вод :: Транспортировка сточных вод</t>
  </si>
  <si>
    <t>/ВО/Очистка сточных вод :: /ВО/Транспортировка сточных вод</t>
  </si>
  <si>
    <t>31689563</t>
  </si>
  <si>
    <t>МУП "ВОДОСТОК"</t>
  </si>
  <si>
    <t>5254497040</t>
  </si>
  <si>
    <t>01-04-2021 00:00:00</t>
  </si>
  <si>
    <t>Прием сточных вод</t>
  </si>
  <si>
    <t>/ВО/Прием сточных вод</t>
  </si>
  <si>
    <t>31461650</t>
  </si>
  <si>
    <t>ОАО "БОРСКАЯ ФАБРИКА ВАЛЯНОЙ ОБУВИ"</t>
  </si>
  <si>
    <t>5246006019</t>
  </si>
  <si>
    <t>01-12-2020 00:00:00</t>
  </si>
  <si>
    <t>26358337</t>
  </si>
  <si>
    <t>ОАО "Дизель"</t>
  </si>
  <si>
    <t>5249012839</t>
  </si>
  <si>
    <t>31029548</t>
  </si>
  <si>
    <t>ООО "АКВА"</t>
  </si>
  <si>
    <t>5260445280</t>
  </si>
  <si>
    <t>14-07-2017 00:00:00</t>
  </si>
  <si>
    <t>26555455</t>
  </si>
  <si>
    <t>ООО "БАЗ"</t>
  </si>
  <si>
    <t>5246046131</t>
  </si>
  <si>
    <t>31341460</t>
  </si>
  <si>
    <t>ООО "БИОТЕХСЕРВИС"</t>
  </si>
  <si>
    <t>5244031860</t>
  </si>
  <si>
    <t>27-11-2019 00:00:00</t>
  </si>
  <si>
    <t>31322308</t>
  </si>
  <si>
    <t>ООО "НЕМЕКО ГРАНД"</t>
  </si>
  <si>
    <t>5262293586</t>
  </si>
  <si>
    <t>31490086</t>
  </si>
  <si>
    <t>ООО "СТРОЙСЕРВИС"</t>
  </si>
  <si>
    <t>5223035077</t>
  </si>
  <si>
    <t>30982795</t>
  </si>
  <si>
    <t>ООО "УК "Сетка-Центр"</t>
  </si>
  <si>
    <t>5249143408</t>
  </si>
  <si>
    <t>31711356</t>
  </si>
  <si>
    <t>ООО "ЭКОСЕТЬ"</t>
  </si>
  <si>
    <t>5258156770</t>
  </si>
  <si>
    <t>26555460</t>
  </si>
  <si>
    <t>ПАО "МИЗ им. М.Горького"</t>
  </si>
  <si>
    <t>5252000488</t>
  </si>
  <si>
    <t>14-11-2023 00:00:00</t>
  </si>
  <si>
    <t>27577541</t>
  </si>
  <si>
    <t>ФКУ ИК-14 ГУФСИН РОССИИ ПО НИЖЕГОРОДСКОЙ ОБЛАСТИ</t>
  </si>
  <si>
    <t>5228007193</t>
  </si>
  <si>
    <t>16-01-2012 00:00:00</t>
  </si>
  <si>
    <t>26358372</t>
  </si>
  <si>
    <t>ФКУЗ "САНАТОРИЙ "ГОРБАТОВ" МВД РОССИИ"</t>
  </si>
  <si>
    <t>5252007589</t>
  </si>
  <si>
    <t>01-08-2022 00:00:00</t>
  </si>
  <si>
    <t>28073128</t>
  </si>
  <si>
    <t>АО «СИТИМАТИК - НИЖНИЙ НОВГОРОД»</t>
  </si>
  <si>
    <t>5260278039</t>
  </si>
  <si>
    <t>/ТКО/Оказание услуги по обращению с твердыми коммунальными отходами региональным оператором</t>
  </si>
  <si>
    <t>Оказание услуги по обращению с твердыми коммунальными отходами региональным оператором :: Захоронение твердых коммунальных отходов</t>
  </si>
  <si>
    <t>/ТКО/Оказание услуги по обращению с твердыми коммунальными отходами региональным оператором :: /ТКО/Захоронение твердых коммунальных отходов</t>
  </si>
  <si>
    <t>31707617</t>
  </si>
  <si>
    <t>ОБЩЕСТВО С ОГРАНИЧЕННОЙ ОТВЕТСТВЕННОСТЬЮ "МАГИСТРАЛЬИНВЕСТ"</t>
  </si>
  <si>
    <t>5257072581</t>
  </si>
  <si>
    <t>30-10-2023 00:00:00</t>
  </si>
  <si>
    <t>Транспортирование твердых коммунальных отходов</t>
  </si>
  <si>
    <t>/ТКО/Транспортирование твердых коммунальных отходов</t>
  </si>
  <si>
    <t>31708482</t>
  </si>
  <si>
    <t>ООО "АВТОСПЕЦМОНТАЖ"</t>
  </si>
  <si>
    <t>5263111359</t>
  </si>
  <si>
    <t>01-09-2023 00:00:00</t>
  </si>
  <si>
    <t>26555505</t>
  </si>
  <si>
    <t>ООО "АГЖО-Сергач"</t>
  </si>
  <si>
    <t>5229007862</t>
  </si>
  <si>
    <t>/ТКО/Захоронение твердых коммунальных отходов</t>
  </si>
  <si>
    <t>31715967</t>
  </si>
  <si>
    <t>ООО "ВОЛГА-Д"</t>
  </si>
  <si>
    <t>3448034760</t>
  </si>
  <si>
    <t>346001001</t>
  </si>
  <si>
    <t>31709803</t>
  </si>
  <si>
    <t>ООО "ИСТОК"</t>
  </si>
  <si>
    <t>5259090138</t>
  </si>
  <si>
    <t>26951747</t>
  </si>
  <si>
    <t>ООО "МАГ Груп"</t>
  </si>
  <si>
    <t>5258084318</t>
  </si>
  <si>
    <t>13-10-2017 00:00:00</t>
  </si>
  <si>
    <t>Обработка твердых коммунальных отходов :: Захоронение твердых коммунальных отходов</t>
  </si>
  <si>
    <t>/ТКО/Обработка твердых коммунальных отходов :: /ТКО/Захоронение твердых коммунальных отходов</t>
  </si>
  <si>
    <t>31151349</t>
  </si>
  <si>
    <t>ООО "МСК-НТ"</t>
  </si>
  <si>
    <t>7734699480</t>
  </si>
  <si>
    <t>773401001</t>
  </si>
  <si>
    <t>16-04-2013 00:00:00</t>
  </si>
  <si>
    <t>31695868</t>
  </si>
  <si>
    <t>ООО "НАСТ"</t>
  </si>
  <si>
    <t>5257084971</t>
  </si>
  <si>
    <t>04-07-2016 00:00:00</t>
  </si>
  <si>
    <t>31232663</t>
  </si>
  <si>
    <t>ООО "НИЖЭКОЛОГИЯ-НН"</t>
  </si>
  <si>
    <t>5261098663</t>
  </si>
  <si>
    <t>30421267</t>
  </si>
  <si>
    <t>ООО "ОРБ НИЖНИЙ"</t>
  </si>
  <si>
    <t>5256068455</t>
  </si>
  <si>
    <t>31342143</t>
  </si>
  <si>
    <t>ООО "ОРБ Нижний" Канавинский филиал</t>
  </si>
  <si>
    <t>526243001</t>
  </si>
  <si>
    <t>30813929</t>
  </si>
  <si>
    <t>ООО "РЕАЛ-КСТОВО"</t>
  </si>
  <si>
    <t>5250063394</t>
  </si>
  <si>
    <t>Оказание услуги по обращению с твердыми коммунальными отходами региональным оператором :: Обработка твердых коммунальных отходов :: Захоронение твердых коммунальных отходов</t>
  </si>
  <si>
    <t>/ТКО/Оказание услуги по обращению с твердыми коммунальными отходами региональным оператором :: /ТКО/Обработка твердых коммунальных отходов :: /ТКО/Захоронение твердых коммунальных отходов</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</si>
  <si>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</si>
  <si>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</si>
  <si>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</si>
  <si>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</si>
  <si>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</si>
  <si>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</si>
  <si>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</si>
  <si>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</si>
  <si>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</si>
  <si>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</si>
  <si>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</si>
  <si>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</si>
  <si>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</si>
  <si>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</si>
  <si>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</si>
  <si>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22-06-2023 00:00:00</t>
  </si>
  <si>
    <t>31708928</t>
  </si>
  <si>
    <t>ООО "ЭКОВЫВОЗ"</t>
  </si>
  <si>
    <t>6686005610</t>
  </si>
  <si>
    <t>668601001</t>
  </si>
  <si>
    <t>31714665</t>
  </si>
  <si>
    <t>ООО "ЭКОГРИНСИТИ"</t>
  </si>
  <si>
    <t>7735146591</t>
  </si>
  <si>
    <t>773501001</t>
  </si>
  <si>
    <t>31706802</t>
  </si>
  <si>
    <t>ООО "Эко - Реал НН"</t>
  </si>
  <si>
    <t>5260357227</t>
  </si>
  <si>
    <t>27-10-2023 00:00:00</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</si>
  <si>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</si>
  <si>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</si>
  <si>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</si>
  <si>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</si>
  <si>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</si>
  <si>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</si>
  <si>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</si>
  <si>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</si>
  <si>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</si>
  <si>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</si>
  <si>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</si>
  <si>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</si>
  <si>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</si>
  <si>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</si>
  <si>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</si>
  <si>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</si>
  <si>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</si>
  <si>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</si>
  <si>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</si>
  <si>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</si>
  <si>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</si>
  <si>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</si>
  <si>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</si>
  <si>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</si>
  <si>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</si>
  <si>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</si>
  <si>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</si>
  <si>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</si>
  <si>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</si>
  <si>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</si>
  <si>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</si>
  <si>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</si>
  <si>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</si>
  <si>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</si>
  <si>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</si>
  <si>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</si>
  <si>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</si>
  <si>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</si>
  <si>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</si>
  <si>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</si>
  <si>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</si>
  <si>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</si>
  <si>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</si>
  <si>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</si>
  <si>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</si>
  <si>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</si>
  <si>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</si>
  <si>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</si>
  <si>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</si>
  <si>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</si>
  <si>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</si>
  <si>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</si>
  <si>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</si>
  <si>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</si>
  <si>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</si>
  <si>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Кстовский муниципальный округ</t>
  </si>
  <si>
    <t>22537000</t>
  </si>
  <si>
    <t>Лукояновский муниципальный округ</t>
  </si>
  <si>
    <t>22539000</t>
  </si>
  <si>
    <t>Лысковский муниципальный округ</t>
  </si>
  <si>
    <t>22540000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</si>
  <si>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</si>
  <si>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</si>
  <si>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</si>
  <si>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</si>
  <si>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</si>
  <si>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</si>
  <si>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</si>
  <si>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</si>
  <si>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</si>
  <si>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</si>
  <si>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</si>
  <si>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</si>
  <si>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</si>
  <si>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</si>
  <si>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</si>
  <si>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</si>
  <si>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</si>
  <si>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</si>
  <si>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</si>
  <si>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</si>
  <si>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</si>
  <si>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</si>
  <si>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</si>
  <si>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</si>
  <si>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</si>
  <si>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</si>
  <si>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</si>
  <si>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</si>
  <si>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</si>
  <si>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</si>
  <si>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</si>
  <si>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</si>
  <si>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Арзамас</t>
  </si>
  <si>
    <t>22703000</t>
  </si>
  <si>
    <t>город Бор</t>
  </si>
  <si>
    <t>22712000</t>
  </si>
  <si>
    <t>город Выкса</t>
  </si>
  <si>
    <t>22715000</t>
  </si>
  <si>
    <t>город Дзержинск</t>
  </si>
  <si>
    <t>22721000</t>
  </si>
  <si>
    <t>город Кулебаки</t>
  </si>
  <si>
    <t>22727000</t>
  </si>
  <si>
    <t>город Первомайск</t>
  </si>
  <si>
    <t>22734000</t>
  </si>
  <si>
    <t>город Чкаловск</t>
  </si>
  <si>
    <t>22755000</t>
  </si>
  <si>
    <t>город Шахунья</t>
  </si>
  <si>
    <t>22758000</t>
  </si>
  <si>
    <t>NUMBER_POINT</t>
  </si>
  <si>
    <t>L_NAME</t>
  </si>
  <si>
    <t>L_START_DATE</t>
  </si>
  <si>
    <t>L_END_DATE</t>
  </si>
  <si>
    <t>Инвестиционная программа № 329-116/23/од от 05.06.2023 ООО "СЕВЕРНЫЕ КОММУНАЛЬНЫЕ СЕТИ" в сфере теплоснабжения по реконструкции котельных и тепловых сетей, на территории муниципального округа Тоншаевский на 2023-2037 годы</t>
  </si>
  <si>
    <t>05.06.2023</t>
  </si>
  <si>
    <t>31.12.2037</t>
  </si>
  <si>
    <t>Инвестиционная программа № 329-230/21Под от 26.08.2021 ООО "Гранит" в сфере теплоснабжения по развитию, модернизации и реконструкции котельных и тепловых сетей, на территории городского округа Сокольский на 2021-2037 годы</t>
  </si>
  <si>
    <t>01.10.2021</t>
  </si>
  <si>
    <t>Инвестиционная программа № 329-317/21П/од от 01.11.2021 ООО "Теплосети" в сфере теплоснабжения по развитию имущественного комплекса, на территории городского округа Нижний Новгород на 2022-2026 годы</t>
  </si>
  <si>
    <t>Инвестиционная программа № 329-334/22П/од от 31.10.2022 ООО "Бор Инвест" в сфере теплоснабжения по развитию систем теплоснабжения от котельных и тепловых сетей, на территории муниципального округа Вознесенский на 2023-2048 годы</t>
  </si>
  <si>
    <t>01.12.2023</t>
  </si>
  <si>
    <t>31.12.2048</t>
  </si>
  <si>
    <t>Инвестиционная программа № 329-336/22П/од от 01.11.2022 ООО "Гранит" в сфере теплоснабжения по строительству, реконструкции и модернизации централизованных систем теплоснабжения, на территории муниципального округа Уренский на 2023-2037 годы</t>
  </si>
  <si>
    <t>Инвестиционная программа № 329-337/22П/од от 31.10.2022 ООО "СТН-Энергосети" в сфере теплоснабжения по техническому перевооружению систем теплоснабжения, на территории городского округа Нижний Новгород на 2023 год</t>
  </si>
  <si>
    <t>01.01.2023</t>
  </si>
  <si>
    <t>31.12.2023</t>
  </si>
  <si>
    <t>Инвестиционная программа № 329-396/22П от 23.11.2022 АО "Теплоэнерго" в сфере теплоснабжения по строительству, реконструкции, модернизации и развитию систем теплоснабжения от котельных и тепловых сетей, на территории городского округа Нижний Новгород на 2023-2027 годы</t>
  </si>
  <si>
    <t>31.12.2027</t>
  </si>
  <si>
    <t>Инвестиционная программа № 329-396/22П/од от 23.11.2022 АО "Теплоэнерго" в сфере теплоснабжения по строительству, реконструкции, модернизации и развитию имущественного комплекса, на территории городского округа Нижний Новгород на 2023-2027 годы</t>
  </si>
  <si>
    <t>Инвестиционная программа № 329-396/22П/од от 23.11.2022 АО "Теплоэнерго"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Нижний Новгород на 2023-2047 годы</t>
  </si>
  <si>
    <t>31.12.2047</t>
  </si>
  <si>
    <t>Инвестиционная программа № 329-419/23П/од от 26.10.2023 Филиал "Нижегородский" ПАО "Т ПЛЮС" в сфере теплоснабжения по модернизации и реконструкции имущественного комплекса, на территории городского округа Нижний Новгород на 2024-2028 годы</t>
  </si>
  <si>
    <t>01.01.2024</t>
  </si>
  <si>
    <t>31.12.2028</t>
  </si>
  <si>
    <t>Инвестиционная программа № 329-441/23П/од от 30.10.2023 ООО "СТН-Энергосети" в сфере теплоснабжения по строительству, реконструкции и модернизации систем теплоснабжения, на территории городского округа Нижний Новгород на 2024-2028 годы</t>
  </si>
  <si>
    <t>Инвестиционная программа АО "Теплоэнерго" в сфере теплоснабжения на 2014-2022 годы</t>
  </si>
  <si>
    <t>01.01.2014</t>
  </si>
  <si>
    <t>31.12.2022</t>
  </si>
  <si>
    <t>Инвестиционная программа Балахнинского филиала АО "НОКК" в сфере теплоснабжения на 2018-2028 годы</t>
  </si>
  <si>
    <t>01.01.2018</t>
  </si>
  <si>
    <t>Инвестиционная программа Балахнинского филиала АО "Нижегородская областная коммунальная компания" в сфере теплоснабжения на период 2018-2028 годы</t>
  </si>
  <si>
    <t>Инвестиционная программа Богородского филиала АО "НОКК" в сфере теплоснабжения на 2017-2030 годы</t>
  </si>
  <si>
    <t>01.01.2017</t>
  </si>
  <si>
    <t>31.12.2030</t>
  </si>
  <si>
    <t>Инвестиционная программа Богородского филиала АО "Нижегородская областная коммунальная компания" на период 2017-2030 гг.</t>
  </si>
  <si>
    <t>Инвестиционная программа Богородского филиала АО "Нижегородская областная коммунальная компания" на период 2017-2030 годы</t>
  </si>
  <si>
    <t>Инвестиционная программа Володарского филиала ООО "УК "Нижегородская областная коммунальная компания" в сфере теплоснабжения на период 2018-2027 годы</t>
  </si>
  <si>
    <t>Инвестиционная программа Володарского филиала ООО "УК"НОКК" в сфере теплоснабжения на 2018-2027 годы</t>
  </si>
  <si>
    <t>Инвестиционная программа МУП "Выксатеплоэнерго" по строительству и техническому перевооружению системы теплоснабжения городского округа город Выкса на 2016-2021 годы</t>
  </si>
  <si>
    <t>01.01.2016</t>
  </si>
  <si>
    <t>31.12.2021</t>
  </si>
  <si>
    <t>Инвестиционная программа МУП "Выксатеплоэнерго" по строительству и техническому перевооружению системы теплоснабжения городского округа города Выкса на 2016-2023 годы</t>
  </si>
  <si>
    <t>Инвестиционная программа ОАО "Теплоэнерго" в сфере теплоснабжения на 2014-2022 годы</t>
  </si>
  <si>
    <t>Инвестиционная программа ООО "Автозаводская ТЭЦ" в сфере теплоснабжения на 2018-2021 годы</t>
  </si>
  <si>
    <t>Инвестиционная программа ООО "Атриум Инвест" по развитию системы теплоснабжения котельной, расположенной по адресу: Шатковкский район, рп Шатки, ул.1 Мая, д. 69б на 2017-2029 годы</t>
  </si>
  <si>
    <t>31.12.2029</t>
  </si>
  <si>
    <t>Инвестиционная программа ООО "Атриум Инвест" по развитию системы теплоснабжения котельной, расположенной по адресу: г Бор, п Большеорловское, ул. Микрорайон, участок 8В на 2017-2030 годы</t>
  </si>
  <si>
    <t>Инвестиционная программа ООО "Атриум Инвест" по развитию системы теплоснабжения от котельной, расположенной по адресу: Шатковский район, р.п. Шатки, ул. 1 Мая, д. 69, на период 2017-2029 гг.</t>
  </si>
  <si>
    <t>Инвестиционная программа ООО "Атриум Инвест" по развитию системы теплоснабжения от котельной, расположенной по адресу: городской округ город Бор, п. Большеорловское, ул. Микрорайон, участок 8В, на период 2017-2030 гг.</t>
  </si>
  <si>
    <t>Инвестиционная программа ООО "Бор Инвест" по развитию системы теплоснабжения котельных и тепловых сетей на 2017-2039 годы</t>
  </si>
  <si>
    <t>31.12.2039</t>
  </si>
  <si>
    <t>Инвестиционная программа ООО "Бор Инвест" по развитию системы теплоснабжения от котельных и тепловых сетей на период 2017-2026 гг.</t>
  </si>
  <si>
    <t>Инвестиционная программа ООО "Бор Теплогаз" по развитию системы теплоснабжения от котельных села Вад Вадского муниципального района на 2018-2031 годы</t>
  </si>
  <si>
    <t>31.12.2031</t>
  </si>
  <si>
    <t>Инвестиционная программа ООО "Ветлужская ТК" в сфере теплоснабжения на 2017-2023 годы</t>
  </si>
  <si>
    <t>Инвестиционная программа ООО "Генерация тепла" по развитию систем теплоснабжения Автозаводского и Ленинского районов города Нижнего Новгорода на 2017-2020 годы</t>
  </si>
  <si>
    <t>31.12.2020</t>
  </si>
  <si>
    <t>Инвестиционная программа ООО "Генерация тепла" по развитию систем теплоснабжения Автозаводского района города Нижнего Новгорода на период 2017-2022 гг.</t>
  </si>
  <si>
    <t>Инвестиционная программа ООО "Нижновтеплоэнерго" на период 2017-2023 гг.</t>
  </si>
  <si>
    <t>Инвестиционная программа ООО "Тепловик" по развитию системы теплоснабжения котельных городского округа Бор на 2018-2043 годы</t>
  </si>
  <si>
    <t>31.12.2043</t>
  </si>
  <si>
    <t>Инвестиционная программа ООО "Тепловик" по развитию системы теплоснабжения от котельных городского округа город Бор на 2018-2031 годы</t>
  </si>
  <si>
    <t>Инвестиционная программа ООО "Теплосети" по развитию теплоснабжения Ленинского и Автозаводского районов г. Нижний Новгород на 2017-2021 годы, утвержденная 28 октября 2016 Министерством энергетики и ЖКХ Нижегородской области</t>
  </si>
  <si>
    <t>Инвестиционная программа ООО "Теплосети" по развитию теплоснабжения Ленинского и Автозаводского районов города Нижнего Новгорода на 2017-2021 годы</t>
  </si>
  <si>
    <t>Инвестиционная программа Семеновского филиала АО "НОКК" в сфере теплоснабжения на 2017-2027 годы</t>
  </si>
  <si>
    <t>Инвестиционная программа Семеновского филиала АО "Нижегородская областная коммунальная компания" на период 2017-2027 гг.</t>
  </si>
  <si>
    <t>Инвестиционная программа Сеченовского филиала АО "Нижегородская областная коммунальная компания" в сфере теплоснабжения на период 2018-2025 годы</t>
  </si>
  <si>
    <t>31.12.2025</t>
  </si>
  <si>
    <t>Инвестиционная программа Шахунского филиала АО "НОКК" в сфере теплоснабжения на 2017-2027 годы</t>
  </si>
  <si>
    <t>Инвестиционная программа от 01.02.2021 ООО "Тепловые сети" в сфере теплоснабжения по модернизации и строительству объектов, на территории рп Ардатов, Рабочий поселок Ардатов, Ардатовский муниципальный район на 2021-2029 годы</t>
  </si>
  <si>
    <t>01.02.2021</t>
  </si>
  <si>
    <t>Инвестиционная программа от 01.07.2020 МУП ЖКХ "Жилсервис" Володарского района в сфере теплоснабжения по комплексному развитию имущественного комплекса, на территории муниципального района Володарский на 2020-2050 годы</t>
  </si>
  <si>
    <t>01.07.2020</t>
  </si>
  <si>
    <t>31.12.2050</t>
  </si>
  <si>
    <t>Инвестиционная программа от 01.07.2020 ОАО "Павловский завод им.Кирова" в сфере горячего водоснабжения по модернизации и развитию имущественного комплекса, на территории муниципального района Павловский на 2020-2050 годы</t>
  </si>
  <si>
    <t>Инвестиционная программа от 01.07.2020 ОАО "Павловский завод им.Кирова" в сфере теплоснабжения по модернизации имущественного комплекса, на территории муниципального района Павловский на 2020-2050 годы</t>
  </si>
  <si>
    <t>Инвестиционная программа от 04.09.2018 ООО "КСК" в сфере теплоснабжения по строительству и оборудованию котельных и тепловых сетей, на территории городского округа Нижний Новгород на 2019-2023 годы</t>
  </si>
  <si>
    <t>01.01.2019</t>
  </si>
  <si>
    <t>Инвестиционная программа от 04.09.2018 ООО "КСК" в сфере теплоснабжения по строительству и оборудованию систем теплоснабжения от котельных и тепловых сетей, на территории городского округа Нижний Новгород на 2019-2027 годы</t>
  </si>
  <si>
    <t>Инвестиционная программа от 05.10.2019 Филиал "Нижегородский" ПАО "Т ПЛЮС" в сфере теплоснабжения по модернизации и реконструкции имущественного комплекса, на территории городского округа Нижний Новгород на 2020-2023 годы</t>
  </si>
  <si>
    <t>01.01.2020</t>
  </si>
  <si>
    <t>Инвестиционная программа от 06.10.2020 ООО "ФСК "Энерго Строй" в сфере теплоснабжения по развитию централизованных систем теплоснабжения, на территории муниципального района Павловский на 2021-2025 годы</t>
  </si>
  <si>
    <t>01.01.2021</t>
  </si>
  <si>
    <t>24.12.2025</t>
  </si>
  <si>
    <t>Инвестиционная программа от 08.09.2020 ООО "Генерация тепла" в сфере теплоснабжения по развитию систем инженерной инфраструктуры, на территории городского округа Нижний Новгород на 2021-2028 годы</t>
  </si>
  <si>
    <t>Инвестиционная программа от 10.10.2019 МУП "Тепловые сети" в сфере теплоснабжения по модернизации котельных на 2020-2024 годы</t>
  </si>
  <si>
    <t>31.12.2024</t>
  </si>
  <si>
    <t>Инвестиционная программа от 16.07.2016 ООО "Нижегородтеплогаз" в сфере теплоснабжения по техническому перевооружению газовых котельных, на территории городского округа Дзержинск на 2019-2025 годы</t>
  </si>
  <si>
    <t>Инвестиционная программа от 16.07.2018 ООО "Нижегородтеплогаз" в сфере теплоснабжения по реконструкции и техническому перевооружению газовых котельных, на территории городского округа Дзержинск на 2019-2023 годы</t>
  </si>
  <si>
    <t>Инвестиционная программа от 16.07.2018 ООО "Нижегородтеплогаз" в сфере теплоснабжения по техническому перевооружению газовых котельных, на территории городского округа Дзержинск на 2019-2021 годы</t>
  </si>
  <si>
    <t>Инвестиционная программа от 16.07.2018 ООО "Нижновтеплоэнерго" в сфере теплоснабжения по техническому перевооружению газовых котельных, на территории городского округа Дзержинск на 2019-2025 годы</t>
  </si>
  <si>
    <t>Инвестиционная программа от 16.10.2020 ООО "ПрофТепло" в сфере теплоснабжения по развитию систем теплоснабжения, на территории муниципального района Арзамасский на 2020-2033 годы</t>
  </si>
  <si>
    <t>16.10.2020</t>
  </si>
  <si>
    <t>31.12.2033</t>
  </si>
  <si>
    <t>Инвестиционная программа от 16.10.2020 ООО "Тепловые сети Арзамасского района" в сфере теплоснабжения по развитию систем теплоснабжения, на территории муниципального района Арзамасский на 2020-2033 годы</t>
  </si>
  <si>
    <t>60</t>
  </si>
  <si>
    <t>Инвестиционная программа от 20.11.2020 АО "ВЫКСАТЕПЛОЭНЕРГО" в сфере теплоснабжения по комплексному развитию имущественного комплекса, на территории городского округа Выкса на 2020-2021 годы</t>
  </si>
  <si>
    <t>20.11.2020</t>
  </si>
  <si>
    <t>61</t>
  </si>
  <si>
    <t>Инвестиционная программа от 23.11.2022 АО "Теплоэнерго" в сфере теплоснабжения по строительству и модернизации объектов, на территории городского округа Нижний Новгород на 2022 год</t>
  </si>
  <si>
    <t>23.11.2022</t>
  </si>
  <si>
    <t>62</t>
  </si>
  <si>
    <t>Инвестиционная программа от 24.10.2018 ООО "БТГ" в сфере теплоснабжения по комплексному развитию объектов, на территории сельского поселения Бахтызинский, Вознесенский муниципальный район на 2019-2040 годы</t>
  </si>
  <si>
    <t>31.12.2040</t>
  </si>
  <si>
    <t>63</t>
  </si>
  <si>
    <t>Инвестиционная программа от 24.10.2018 ООО "БТГ" в сфере теплоснабжения по комплексному развитию систем теплоснабжения, на территории муниципального района Вознесенский на 2019-2040 годы</t>
  </si>
  <si>
    <t>64</t>
  </si>
  <si>
    <t>Инвестиционная программа от 25.02.2022 АО "СТСК" в сфере теплоснабжения по реконструкции объектов систем теплоснабжения, на территории городского округа ЗАТО Саров на 2022-2029 годы</t>
  </si>
  <si>
    <t>25.02.2022</t>
  </si>
  <si>
    <t>65</t>
  </si>
  <si>
    <t>Инвестиционная программа от 25.10.2016 Филиал "Нижегородский" ПАО "Т ПЛЮС" в сфере теплоснабжения по строительству, реконструкции, модернизации и развитию систем теплоснабжения, на территории городского округа Дзержинск на 2016-2047 годы</t>
  </si>
  <si>
    <t>25.10.2016</t>
  </si>
  <si>
    <t>Инвестиционная программа от 26.10.2020 АО "СТСК" в сфере теплоснабжения по модернизации и развитию имущественного комплекса, на территории городского округа ЗАТО Саров на 2021-2023 годы</t>
  </si>
  <si>
    <t>67</t>
  </si>
  <si>
    <t>Инвестиционная программа от 28.05.2021 АО "Теплоэнерго" в сфере теплоснабжения и горячего водоснабжения по строительству, реконструкции, модернизации и развитию имущественного комплекса, на территории городского округа Чкаловск на 2021-2030 годы</t>
  </si>
  <si>
    <t>28.05.2021</t>
  </si>
  <si>
    <t>Инвестиционная программа от 28.10.2015 АО "ВЫКСАТЕПЛОЭНЕРГО" в сфере теплоснабжения по строительству и техническому перевооружению систем теплоснабжения, на территории городского округа Выкса на 2016-2031 годы</t>
  </si>
  <si>
    <t>69</t>
  </si>
  <si>
    <t>Инвестиционная программа от 28.10.2016 АО "НОКК" (Ветлужский филиал) в сфере теплоснабжения по строительству, реконструкции и модернизации систем теплоснабжения, на территории муниципального округа Ветлужский на 2017-2026 годы</t>
  </si>
  <si>
    <t>70</t>
  </si>
  <si>
    <t>Инвестиционная программа от 28.10.2016 ООО "Атриум Инвест" в сфере теплоснабжения по развитию, модернизации и реконструкции систем теплоснабжения, на территории муниципального округа Шатковский на 2017-2029 годы</t>
  </si>
  <si>
    <t>71</t>
  </si>
  <si>
    <t>Инвестиционная программа от 29.10.2019 ООО "Гранит" в сфере теплоснабжения по модернизации и реконструкции систем теплоснабжения от котельных и тепловых сетей, на территории муниципального округа Уренский на 2019-2032 годы</t>
  </si>
  <si>
    <t>29.10.2019</t>
  </si>
  <si>
    <t>31.12.2032</t>
  </si>
  <si>
    <t>72</t>
  </si>
  <si>
    <t>Инвестиционная программа от 29.10.2019 ООО "ОРК" в сфере теплоснабжения по развитию систем теплоснабжения, на территории городского округа Арзамас на 2020-2043 годы</t>
  </si>
  <si>
    <t>73</t>
  </si>
  <si>
    <t>Инвестиционная программа от 30.10.2019 МУП "Тепловые сети" в сфере теплоснабжения по модернизации котельных, на территории городского поселения город Городец, Городецкий муниципальный район на 2020-2024 годы</t>
  </si>
  <si>
    <t>74</t>
  </si>
  <si>
    <t>Инвестиционная программа от 30.10.2019 ООО "Бор Теплоэнерго" в сфере теплоснабжения по развитию систем теплоснабжения, на территории городского округа Кулебаки на 2020-2037 годы</t>
  </si>
  <si>
    <t>75</t>
  </si>
  <si>
    <t>Инвестиционная программа от 30.10.2020 ООО "Энергосервис" в сфере теплоснабжения по развитию систем теплоснабжения, на территории городского округа Нижний Новгород на 2021-2026 годы</t>
  </si>
  <si>
    <t>76</t>
  </si>
  <si>
    <t>Инвестиционная программа филиала Нижегородский ПАО "Т Плюс" в сфере теплоснабжения на 2016-2047 годы</t>
  </si>
  <si>
    <t>77</t>
  </si>
  <si>
    <t>Инвестиционная программа филиала Нижегородский ПАО "Т Плюс" в сфере теплоснабжения на территории Кстовского муниципального района на 2017-2046 годы</t>
  </si>
  <si>
    <t>31.12.2046</t>
  </si>
  <si>
    <t>78</t>
  </si>
  <si>
    <t>Инвестиционная программа филиала Нижегородский ПАО "Т Плюс" г. Кстово на 2017-2046 годы</t>
  </si>
  <si>
    <t>79</t>
  </si>
  <si>
    <t>Инвестиционная программа филиала Нижегородский ПАО "Т Плюс" на территории города Дзержинск на 2016-2047 годы</t>
  </si>
  <si>
    <t>80</t>
  </si>
  <si>
    <t>Инвестиционная программа фллиала Нижегородский ПАО "Т Плюс" г. Дзержинск на 2016-2047 годы</t>
  </si>
  <si>
    <t>TER_NAME</t>
  </si>
  <si>
    <t>Территория 1</t>
  </si>
  <si>
    <t>ID_TARIFF_NAME</t>
  </si>
  <si>
    <t>TARIFF_NAME</t>
  </si>
  <si>
    <t>VED_NAME</t>
  </si>
  <si>
    <t>4190064</t>
  </si>
  <si>
    <t>4190065</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</si>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</sst>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66" formatCode="_-* #,##0.00[$€-1]_-;\-* #,##0.00[$€-1]_-;_-* &quot;-&quot;??[$€-1]_-"/>
    <numFmt numFmtId="167" formatCode="#,##0.0"/>
    <numFmt numFmtId="168" formatCode="#,##0.000"/>
    <numFmt numFmtId="169" formatCode="#,##0.0000"/>
    <numFmt numFmtId="170" formatCode="dd\.mm\.yyyy"/>
    <numFmt numFmtId="171" formatCode="000000"/>
  </numFmts>
  <fonts count="127">
    <font>
      <sz val="9"/>
      <color rgb="FF000000"/>
      <name val="Tahoma"/>
    </font>
    <font>
      <sz val="11"/>
      <color theme="1"/>
      <name val="Calibri"/>
      <scheme val="minor"/>
    </font>
    <font>
      <sz val="11"/>
      <color indexed="0"/>
      <name val="Calibri"/>
      <family val="2"/>
    </font>
    <font>
      <sz val="11"/>
      <color rgb="FF000080"/>
      <name val="Calibri"/>
    </font>
    <font>
      <sz val="12"/>
      <name val="Arial"/>
    </font>
    <font>
      <sz val="10"/>
      <name val="Helv"/>
    </font>
    <font>
      <sz val="8"/>
      <name val="Arial"/>
    </font>
    <font>
      <sz val="10"/>
      <name val="Tahoma"/>
    </font>
    <font>
      <sz val="9"/>
      <name val="Tahoma"/>
    </font>
    <font>
      <sz val="8"/>
      <name val="Palatino"/>
    </font>
    <font>
      <u/>
      <sz val="10"/>
      <color rgb="FF800080"/>
      <name val="Arial Cyr"/>
    </font>
    <font>
      <sz val="8"/>
      <name val="Helv"/>
    </font>
    <font>
      <sz val="11"/>
      <name val="Tahoma"/>
    </font>
    <font>
      <u/>
      <sz val="9"/>
      <color rgb="FF333399"/>
      <name val="Tahoma"/>
    </font>
    <font>
      <b/>
      <u/>
      <sz val="11"/>
      <color rgb="FF0000FF"/>
      <name val="Arial"/>
    </font>
    <font>
      <u/>
      <sz val="9"/>
      <color rgb="FF0000FF"/>
      <name val="Tahoma"/>
    </font>
    <font>
      <u/>
      <sz val="9"/>
      <color rgb="FF000080"/>
      <name val="Tahoma"/>
    </font>
    <font>
      <b/>
      <u/>
      <sz val="9"/>
      <color rgb="FF0000FF"/>
      <name val="Tahoma"/>
    </font>
    <font>
      <b/>
      <sz val="14"/>
      <name val="Franklin Gothic Medium"/>
    </font>
    <font>
      <b/>
      <sz val="9"/>
      <name val="Tahoma"/>
    </font>
    <font>
      <sz val="11"/>
      <color rgb="FF000000"/>
      <name val="Calibri"/>
    </font>
    <font>
      <sz val="10"/>
      <name val="Arial Cyr"/>
    </font>
    <font>
      <sz val="11"/>
      <color rgb="FF333333"/>
      <name val="Calibri"/>
    </font>
    <font>
      <sz val="8"/>
      <name val="Verdana"/>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9"/>
      <color theme="0"/>
      <name val="Tahoma"/>
    </font>
    <font>
      <sz val="1"/>
      <color theme="0"/>
      <name val="Tahoma"/>
    </font>
    <font>
      <b/>
      <sz val="1"/>
      <color theme="0"/>
      <name val="Calibri"/>
    </font>
    <font>
      <sz val="8"/>
      <color rgb="FFBCBCBC"/>
      <name val="Tahoma"/>
    </font>
    <font>
      <sz val="12"/>
      <color rgb="FF000000"/>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b/>
      <sz val="9"/>
      <color rgb="FF000080"/>
      <name val="Tahoma"/>
    </font>
    <font>
      <u/>
      <sz val="1"/>
      <color rgb="FF333399"/>
      <name val="Tahoma"/>
    </font>
    <font>
      <sz val="15"/>
      <name val="Tahoma"/>
    </font>
    <font>
      <sz val="1"/>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b/>
      <sz val="8"/>
      <color rgb="FFC0C0C0"/>
      <name val="Wingdings 2"/>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u/>
      <sz val="9"/>
      <name val="Tahoma"/>
    </font>
    <font>
      <u/>
      <sz val="9"/>
      <color theme="0"/>
      <name val="Tahoma"/>
    </font>
    <font>
      <u/>
      <sz val="1"/>
      <color theme="0"/>
      <name val="Tahoma"/>
    </font>
    <font>
      <u/>
      <sz val="9"/>
      <color rgb="FF000000"/>
      <name val="Tahoma"/>
    </font>
    <font>
      <u/>
      <sz val="8"/>
      <name val="Tahoma"/>
    </font>
    <font>
      <u/>
      <sz val="1"/>
      <color rgb="FF000000"/>
      <name val="Tahoma"/>
    </font>
    <font>
      <u/>
      <sz val="9"/>
      <color theme="10"/>
      <name val="Tahoma"/>
    </font>
    <font>
      <sz val="9"/>
      <color rgb="FF000000"/>
      <name val="Tahoma"/>
    </font>
    <font>
      <b/>
      <sz val="9"/>
      <name val="Tahoma"/>
      <family val="2"/>
      <charset val="204"/>
    </font>
    <font>
      <sz val="9"/>
      <name val="Tahoma"/>
      <family val="2"/>
      <charset val="204"/>
    </font>
    <font>
      <vertAlign val="superscript"/>
      <sz val="10"/>
      <name val="Tahoma"/>
      <family val="2"/>
      <charset val="204"/>
    </font>
    <font>
      <vertAlign val="superscript"/>
      <sz val="9"/>
      <name val="Tahoma"/>
      <family val="2"/>
      <charset val="204"/>
    </font>
    <font>
      <sz val="9"/>
      <color indexed="81"/>
      <name val="Tahoma"/>
      <family val="2"/>
    </font>
    <font>
      <sz val="9"/>
      <color indexed="81"/>
      <name val="Arial"/>
      <family val="2"/>
    </font>
  </fonts>
  <fills count="29">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6" tint="0.39997558519241921"/>
        <bgColor indexed="65"/>
      </patternFill>
    </fill>
    <fill>
      <patternFill patternType="solid">
        <fgColor rgb="FFFFCC99"/>
      </patternFill>
    </fill>
    <fill>
      <patternFill patternType="solid">
        <fgColor rgb="FFFFFFC0"/>
      </patternFill>
    </fill>
    <fill>
      <patternFill patternType="solid">
        <fgColor rgb="FFC0C0C0"/>
      </patternFill>
    </fill>
    <fill>
      <patternFill patternType="solid">
        <fgColor rgb="FFBCBCBC"/>
      </patternFill>
    </fill>
    <fill>
      <patternFill patternType="solid">
        <fgColor rgb="FFFFFFFF"/>
      </patternFill>
    </fill>
    <fill>
      <patternFill patternType="solid">
        <fgColor rgb="FF000000"/>
      </patternFill>
    </fill>
    <fill>
      <patternFill patternType="solid">
        <fgColor rgb="FFD7EAD3"/>
      </patternFill>
    </fill>
    <fill>
      <patternFill patternType="solid">
        <fgColor rgb="FFFFB7B7"/>
      </patternFill>
    </fill>
    <fill>
      <patternFill patternType="lightDown">
        <fgColor rgb="FFC0C0C0"/>
      </patternFill>
    </fill>
    <fill>
      <patternFill patternType="solid">
        <fgColor rgb="FFE3FAFD"/>
      </patternFill>
    </fill>
    <fill>
      <patternFill patternType="solid">
        <fgColor rgb="FFB7E4FF"/>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EAEBEE"/>
      </patternFill>
    </fill>
  </fills>
  <borders count="69">
    <border>
      <left/>
      <right/>
      <top/>
      <bottom/>
      <diagonal/>
    </border>
    <border>
      <left style="thin">
        <color rgb="FFBCBCBC"/>
      </left>
      <right style="thin">
        <color rgb="FFBCBCBC"/>
      </right>
      <top style="thin">
        <color rgb="FFBCBCBC"/>
      </top>
      <bottom style="thin">
        <color rgb="FFBCBCBC"/>
      </bottom>
      <diagonal/>
    </border>
    <border>
      <left style="thick">
        <color rgb="FFBCBCBC"/>
      </left>
      <right style="thick">
        <color rgb="FFBCBCBC"/>
      </right>
      <top style="thick">
        <color rgb="FFBCBCBC"/>
      </top>
      <bottom style="thick">
        <color rgb="FFBCBCBC"/>
      </bottom>
      <diagonal/>
    </border>
    <border>
      <left style="thin">
        <color rgb="FF000000"/>
      </left>
      <right style="thin">
        <color rgb="FF000000"/>
      </right>
      <top style="thin">
        <color rgb="FF000000"/>
      </top>
      <bottom style="thin">
        <color rgb="FF000000"/>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style="thin">
        <color rgb="FFC0C0C0"/>
      </left>
      <right/>
      <top/>
      <bottom style="thin">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style="thin">
        <color theme="0" tint="-0.249977111117893"/>
      </right>
      <top style="thin">
        <color rgb="FFC0C0C0"/>
      </top>
      <bottom style="medium">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rgb="FFC0C0C0"/>
      </left>
      <right style="thin">
        <color rgb="FFC0C0C0"/>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right style="thin">
        <color rgb="FFC0C0C0"/>
      </right>
      <top style="thin">
        <color rgb="FFC0C0C0"/>
      </top>
      <bottom style="medium">
        <color rgb="FFC0C0C0"/>
      </bottom>
      <diagonal/>
    </border>
  </borders>
  <cellStyleXfs count="37">
    <xf numFmtId="49" fontId="0" fillId="0" borderId="0" applyFill="0" applyBorder="0">
      <alignment vertical="top"/>
    </xf>
    <xf numFmtId="0" fontId="4" fillId="0" borderId="0" applyFill="0" applyBorder="0">
      <alignment vertical="top"/>
    </xf>
    <xf numFmtId="0" fontId="5" fillId="0" borderId="0" applyFill="0" applyBorder="0"/>
    <xf numFmtId="166" fontId="5" fillId="0" borderId="0" applyFill="0" applyBorder="0"/>
    <xf numFmtId="38" fontId="6" fillId="0" borderId="0" applyFill="0" applyBorder="0">
      <alignment vertical="top"/>
    </xf>
    <xf numFmtId="0" fontId="7" fillId="0" borderId="1" applyFill="0">
      <alignment vertical="top"/>
      <protection locked="0"/>
    </xf>
    <xf numFmtId="167" fontId="8" fillId="6" borderId="0" applyBorder="0">
      <protection locked="0"/>
    </xf>
    <xf numFmtId="0" fontId="9" fillId="0" borderId="0" applyFill="0" applyBorder="0">
      <alignment vertical="center"/>
    </xf>
    <xf numFmtId="168" fontId="8" fillId="6" borderId="0" applyBorder="0">
      <protection locked="0"/>
    </xf>
    <xf numFmtId="169" fontId="8" fillId="6" borderId="0" applyBorder="0">
      <protection locked="0"/>
    </xf>
    <xf numFmtId="0" fontId="10" fillId="0" borderId="0" applyFill="0" applyBorder="0">
      <alignment vertical="top"/>
    </xf>
    <xf numFmtId="0" fontId="7" fillId="7" borderId="1">
      <alignment vertical="top"/>
    </xf>
    <xf numFmtId="0" fontId="11" fillId="0" borderId="0" applyFill="0" applyBorder="0"/>
    <xf numFmtId="0" fontId="12" fillId="8" borderId="2">
      <alignment horizontal="center" vertical="center"/>
    </xf>
    <xf numFmtId="0" fontId="3" fillId="5" borderId="1">
      <alignment vertical="top"/>
    </xf>
    <xf numFmtId="0" fontId="13" fillId="0" borderId="0" applyFill="0" applyBorder="0">
      <alignment vertical="top"/>
    </xf>
    <xf numFmtId="0" fontId="14" fillId="0" borderId="0" applyFill="0" applyBorder="0">
      <alignment vertical="top"/>
    </xf>
    <xf numFmtId="0" fontId="15" fillId="0" borderId="0" applyFill="0" applyBorder="0">
      <alignment vertical="top"/>
    </xf>
    <xf numFmtId="0" fontId="16" fillId="0" borderId="0" applyFill="0" applyBorder="0">
      <alignment vertical="top"/>
    </xf>
    <xf numFmtId="0" fontId="17" fillId="0" borderId="0" applyFill="0" applyBorder="0">
      <alignment vertical="top"/>
    </xf>
    <xf numFmtId="0" fontId="2" fillId="9" borderId="1" applyFont="0">
      <alignment vertical="top"/>
    </xf>
    <xf numFmtId="0" fontId="18" fillId="0" borderId="0" applyFill="0" applyBorder="0">
      <alignment horizontal="center" vertical="center" wrapText="1"/>
    </xf>
    <xf numFmtId="0" fontId="19" fillId="0" borderId="0" applyFill="0" applyBorder="0">
      <alignment horizontal="center" vertical="center" wrapText="1"/>
    </xf>
    <xf numFmtId="4" fontId="8" fillId="6" borderId="0" applyBorder="0">
      <alignment horizontal="right"/>
    </xf>
    <xf numFmtId="49" fontId="8" fillId="0" borderId="0" applyFill="0" applyBorder="0">
      <alignment vertical="top"/>
    </xf>
    <xf numFmtId="0" fontId="1" fillId="0" borderId="0" applyFill="0" applyBorder="0"/>
    <xf numFmtId="0" fontId="20" fillId="0" borderId="0" applyFill="0" applyBorder="0"/>
    <xf numFmtId="49" fontId="120" fillId="0" borderId="0" applyFill="0" applyBorder="0">
      <alignment vertical="top"/>
    </xf>
    <xf numFmtId="0" fontId="21" fillId="0" borderId="0" applyFill="0" applyBorder="0"/>
    <xf numFmtId="0" fontId="120" fillId="10" borderId="0" applyBorder="0">
      <alignment vertical="top"/>
    </xf>
    <xf numFmtId="49" fontId="120" fillId="9" borderId="0" applyBorder="0">
      <alignment vertical="top"/>
    </xf>
    <xf numFmtId="49" fontId="8" fillId="10" borderId="0" applyBorder="0">
      <alignment vertical="top"/>
    </xf>
    <xf numFmtId="0" fontId="22" fillId="0" borderId="0" applyFill="0" applyBorder="0"/>
    <xf numFmtId="0" fontId="8" fillId="0" borderId="0" applyFill="0" applyBorder="0">
      <alignment horizontal="left" vertical="center"/>
    </xf>
    <xf numFmtId="0" fontId="23" fillId="0" borderId="0" applyFill="0" applyBorder="0"/>
    <xf numFmtId="0" fontId="24" fillId="0" borderId="0" applyFill="0" applyBorder="0">
      <alignment vertical="top"/>
    </xf>
    <xf numFmtId="4" fontId="8" fillId="11" borderId="0" applyBorder="0">
      <alignment horizontal="right"/>
    </xf>
  </cellStyleXfs>
  <cellXfs count="2433">
    <xf numFmtId="49" fontId="0" fillId="0" borderId="0" xfId="0" applyNumberFormat="1" applyFont="1">
      <alignment vertical="top"/>
    </xf>
    <xf numFmtId="0" fontId="7" fillId="20" borderId="54" xfId="0" applyNumberFormat="1" applyFont="1" applyFill="1" applyBorder="1" applyAlignment="1">
      <alignment horizontal="right" vertical="center" wrapText="1" indent="1"/>
    </xf>
    <xf numFmtId="0" fontId="7" fillId="20" borderId="61" xfId="0" applyNumberFormat="1" applyFont="1" applyFill="1" applyBorder="1" applyAlignment="1">
      <alignment horizontal="right" vertical="center" wrapText="1" indent="1"/>
    </xf>
    <xf numFmtId="49" fontId="0" fillId="9" borderId="0" xfId="30" applyNumberFormat="1" applyFont="1" applyFill="1">
      <alignment vertical="top"/>
    </xf>
    <xf numFmtId="49" fontId="0" fillId="0" borderId="0" xfId="0" applyNumberFormat="1" applyFont="1">
      <alignment vertical="top"/>
    </xf>
    <xf numFmtId="49" fontId="0" fillId="0" borderId="0" xfId="0" applyNumberFormat="1" applyFont="1">
      <alignment vertical="top"/>
    </xf>
    <xf numFmtId="0" fontId="8" fillId="0" borderId="0" xfId="0" applyNumberFormat="1" applyFont="1" applyAlignment="1">
      <alignment vertical="top" wrapText="1"/>
    </xf>
    <xf numFmtId="49" fontId="0" fillId="0" borderId="0" xfId="0" applyNumberFormat="1" applyFont="1">
      <alignment vertical="top"/>
    </xf>
    <xf numFmtId="49" fontId="8" fillId="11" borderId="3" xfId="0" applyNumberFormat="1" applyFont="1" applyFill="1" applyBorder="1" applyAlignment="1">
      <alignment horizontal="center" vertical="top"/>
    </xf>
    <xf numFmtId="49" fontId="0" fillId="0" borderId="0" xfId="0" applyNumberFormat="1" applyFont="1">
      <alignment vertical="top"/>
    </xf>
    <xf numFmtId="0" fontId="8" fillId="9" borderId="0" xfId="0" applyNumberFormat="1" applyFont="1" applyFill="1" applyAlignment="1"/>
    <xf numFmtId="0" fontId="25" fillId="0" borderId="0" xfId="33" applyFont="1" applyAlignment="1">
      <alignment vertical="center" wrapText="1"/>
    </xf>
    <xf numFmtId="0" fontId="8" fillId="9" borderId="0" xfId="33" applyFont="1" applyFill="1" applyAlignment="1">
      <alignment vertical="center" wrapText="1"/>
    </xf>
    <xf numFmtId="0" fontId="27" fillId="9" borderId="0" xfId="33" applyFont="1" applyFill="1" applyAlignment="1">
      <alignment vertical="center" wrapText="1"/>
    </xf>
    <xf numFmtId="0" fontId="8" fillId="9" borderId="0" xfId="33" applyFont="1" applyFill="1" applyAlignment="1">
      <alignment horizontal="right" vertical="center" wrapText="1" indent="1"/>
    </xf>
    <xf numFmtId="0" fontId="8" fillId="9" borderId="0" xfId="33" applyFont="1" applyFill="1" applyAlignment="1">
      <alignment horizontal="center" vertical="center" wrapText="1"/>
    </xf>
    <xf numFmtId="0" fontId="26" fillId="0" borderId="0" xfId="33" applyFont="1" applyAlignment="1">
      <alignment horizontal="center" vertical="center" wrapText="1"/>
    </xf>
    <xf numFmtId="0" fontId="28" fillId="9" borderId="0" xfId="33" applyFont="1" applyFill="1" applyAlignment="1">
      <alignment horizontal="center" vertical="center" wrapText="1"/>
    </xf>
    <xf numFmtId="0" fontId="8" fillId="0" borderId="0" xfId="33" applyFont="1" applyAlignment="1">
      <alignment vertical="center"/>
    </xf>
    <xf numFmtId="49" fontId="8" fillId="9" borderId="0" xfId="33" applyNumberFormat="1" applyFont="1" applyFill="1" applyAlignment="1">
      <alignment horizontal="right" vertical="center" wrapText="1" indent="1"/>
    </xf>
    <xf numFmtId="49" fontId="27" fillId="9" borderId="0" xfId="33" applyNumberFormat="1" applyFont="1" applyFill="1" applyAlignment="1">
      <alignment horizontal="center" vertical="center" wrapText="1"/>
    </xf>
    <xf numFmtId="49" fontId="0" fillId="12" borderId="0" xfId="0" applyNumberFormat="1" applyFont="1" applyFill="1">
      <alignment vertical="top"/>
    </xf>
    <xf numFmtId="0" fontId="8" fillId="0" borderId="0" xfId="0" applyNumberFormat="1" applyFont="1" applyAlignment="1">
      <alignment vertical="center" wrapText="1"/>
    </xf>
    <xf numFmtId="0" fontId="8" fillId="9" borderId="0" xfId="0" applyNumberFormat="1" applyFont="1" applyFill="1" applyAlignment="1">
      <alignment vertical="center" wrapText="1"/>
    </xf>
    <xf numFmtId="0" fontId="8" fillId="9" borderId="0" xfId="0" applyNumberFormat="1" applyFont="1" applyFill="1" applyAlignment="1">
      <alignment horizontal="right" vertical="center" wrapText="1"/>
    </xf>
    <xf numFmtId="49" fontId="0" fillId="9" borderId="0" xfId="33" applyNumberFormat="1" applyFont="1" applyFill="1" applyAlignment="1">
      <alignment horizontal="right" vertical="center" wrapText="1" indent="1"/>
    </xf>
    <xf numFmtId="49" fontId="29" fillId="9" borderId="0" xfId="0" applyNumberFormat="1" applyFont="1" applyFill="1" applyAlignment="1">
      <alignment horizontal="center" vertical="center" wrapText="1"/>
    </xf>
    <xf numFmtId="49" fontId="0" fillId="0" borderId="0" xfId="0" applyNumberFormat="1" applyFont="1">
      <alignment vertical="top"/>
    </xf>
    <xf numFmtId="0" fontId="30" fillId="9" borderId="0" xfId="0" applyNumberFormat="1" applyFont="1" applyFill="1" applyAlignment="1">
      <alignment horizontal="center" vertical="center" wrapText="1"/>
    </xf>
    <xf numFmtId="0" fontId="30" fillId="9" borderId="0" xfId="0" applyNumberFormat="1" applyFont="1" applyFill="1" applyAlignment="1">
      <alignment horizontal="center"/>
    </xf>
    <xf numFmtId="0" fontId="30" fillId="9" borderId="0" xfId="0" applyNumberFormat="1" applyFont="1" applyFill="1" applyAlignment="1">
      <alignment horizontal="center" vertical="center"/>
    </xf>
    <xf numFmtId="49" fontId="31" fillId="0" borderId="1" xfId="0" applyNumberFormat="1" applyFont="1" applyBorder="1" applyAlignment="1">
      <alignment vertical="top" wrapText="1"/>
    </xf>
    <xf numFmtId="0" fontId="0" fillId="0" borderId="1" xfId="0" applyNumberFormat="1" applyFont="1" applyBorder="1" applyAlignment="1">
      <alignment vertical="top" wrapText="1"/>
    </xf>
    <xf numFmtId="0" fontId="21" fillId="0" borderId="0" xfId="0" applyNumberFormat="1" applyFont="1" applyAlignment="1"/>
    <xf numFmtId="0" fontId="8" fillId="9" borderId="0" xfId="0" applyNumberFormat="1" applyFont="1" applyFill="1" applyAlignment="1">
      <alignment horizontal="center" vertical="center" wrapText="1"/>
    </xf>
    <xf numFmtId="0" fontId="32" fillId="9" borderId="0" xfId="0" applyNumberFormat="1" applyFont="1" applyFill="1" applyAlignment="1">
      <alignment vertical="center" wrapText="1"/>
    </xf>
    <xf numFmtId="0" fontId="25" fillId="0" borderId="0" xfId="33" applyFont="1" applyAlignment="1">
      <alignment horizontal="left" vertical="center" wrapText="1"/>
    </xf>
    <xf numFmtId="49" fontId="25" fillId="0" borderId="0" xfId="33" applyNumberFormat="1" applyFont="1" applyAlignment="1">
      <alignment horizontal="left" vertical="center" wrapText="1"/>
    </xf>
    <xf numFmtId="0" fontId="0" fillId="0" borderId="0" xfId="0" applyNumberFormat="1" applyFont="1">
      <alignment vertical="top"/>
    </xf>
    <xf numFmtId="49" fontId="8" fillId="0" borderId="0" xfId="0" applyNumberFormat="1" applyFont="1">
      <alignment vertical="top"/>
    </xf>
    <xf numFmtId="0" fontId="8" fillId="0" borderId="0" xfId="0" applyNumberFormat="1" applyFont="1" applyAlignment="1">
      <alignment vertical="center" wrapText="1"/>
    </xf>
    <xf numFmtId="0" fontId="8" fillId="9" borderId="4" xfId="0" applyNumberFormat="1" applyFont="1" applyFill="1" applyBorder="1" applyAlignment="1">
      <alignment horizontal="center" vertical="center" wrapText="1"/>
    </xf>
    <xf numFmtId="49" fontId="8" fillId="6" borderId="4" xfId="0" applyNumberFormat="1" applyFont="1" applyFill="1" applyBorder="1" applyAlignment="1" applyProtection="1">
      <alignment horizontal="left" vertical="center" wrapText="1"/>
      <protection locked="0"/>
    </xf>
    <xf numFmtId="49" fontId="33" fillId="13" borderId="5" xfId="0" applyNumberFormat="1" applyFont="1" applyFill="1" applyBorder="1" applyAlignment="1">
      <alignment horizontal="left" vertical="center"/>
    </xf>
    <xf numFmtId="0" fontId="0" fillId="0" borderId="4" xfId="0" applyNumberFormat="1" applyFont="1" applyBorder="1" applyAlignment="1">
      <alignment horizontal="center" vertical="center" wrapText="1"/>
    </xf>
    <xf numFmtId="0" fontId="8" fillId="13" borderId="6" xfId="0" applyNumberFormat="1" applyFont="1" applyFill="1" applyBorder="1" applyAlignment="1">
      <alignment vertical="center" wrapText="1"/>
    </xf>
    <xf numFmtId="0" fontId="8" fillId="0" borderId="4" xfId="0" applyNumberFormat="1" applyFont="1" applyBorder="1" applyAlignment="1">
      <alignment horizontal="center" vertical="center" wrapText="1"/>
    </xf>
    <xf numFmtId="49" fontId="8" fillId="0" borderId="4" xfId="0" applyNumberFormat="1" applyFont="1" applyBorder="1" applyAlignment="1">
      <alignment horizontal="center" vertical="center" wrapText="1"/>
    </xf>
    <xf numFmtId="0" fontId="8" fillId="9" borderId="4" xfId="0" applyNumberFormat="1" applyFont="1" applyFill="1" applyBorder="1" applyAlignment="1">
      <alignment horizontal="center" vertical="center"/>
    </xf>
    <xf numFmtId="0" fontId="25" fillId="0" borderId="0" xfId="0" applyNumberFormat="1" applyFont="1" applyAlignment="1">
      <alignment vertical="center" wrapText="1"/>
    </xf>
    <xf numFmtId="49" fontId="8" fillId="0" borderId="0" xfId="0" applyNumberFormat="1" applyFont="1">
      <alignment vertical="top"/>
    </xf>
    <xf numFmtId="49" fontId="30" fillId="0" borderId="0" xfId="0" applyNumberFormat="1" applyFont="1" applyAlignment="1">
      <alignment horizontal="center" vertical="center"/>
    </xf>
    <xf numFmtId="49" fontId="8" fillId="0" borderId="0" xfId="0" applyNumberFormat="1" applyFont="1">
      <alignment vertical="top"/>
    </xf>
    <xf numFmtId="0" fontId="8" fillId="9" borderId="0" xfId="0" applyNumberFormat="1" applyFont="1" applyFill="1" applyAlignment="1"/>
    <xf numFmtId="0" fontId="36" fillId="9" borderId="0" xfId="0" applyNumberFormat="1" applyFont="1" applyFill="1" applyAlignment="1">
      <alignment horizontal="center" vertical="center" wrapText="1"/>
    </xf>
    <xf numFmtId="0" fontId="25" fillId="9" borderId="0" xfId="0" applyNumberFormat="1" applyFont="1" applyFill="1" applyAlignment="1"/>
    <xf numFmtId="49" fontId="8" fillId="0" borderId="0" xfId="0" applyNumberFormat="1" applyFont="1">
      <alignment vertical="top"/>
    </xf>
    <xf numFmtId="49" fontId="30" fillId="0" borderId="0" xfId="0" applyNumberFormat="1" applyFont="1" applyAlignment="1">
      <alignment horizontal="center" vertical="center" wrapText="1"/>
    </xf>
    <xf numFmtId="0" fontId="8" fillId="9" borderId="4" xfId="0" applyNumberFormat="1" applyFont="1" applyFill="1" applyBorder="1" applyAlignment="1">
      <alignment horizontal="center" vertical="center" wrapText="1"/>
    </xf>
    <xf numFmtId="49" fontId="8" fillId="0" borderId="4" xfId="0" applyNumberFormat="1" applyFont="1" applyBorder="1" applyAlignment="1">
      <alignment horizontal="center" vertical="center" wrapText="1"/>
    </xf>
    <xf numFmtId="49" fontId="37" fillId="13" borderId="7" xfId="0" applyNumberFormat="1" applyFont="1" applyFill="1" applyBorder="1" applyAlignment="1">
      <alignment horizontal="center" vertical="top"/>
    </xf>
    <xf numFmtId="49" fontId="33" fillId="13" borderId="7" xfId="0" applyNumberFormat="1" applyFont="1" applyFill="1" applyBorder="1" applyAlignment="1">
      <alignment horizontal="left" vertical="center"/>
    </xf>
    <xf numFmtId="0" fontId="34" fillId="0" borderId="0" xfId="0" applyNumberFormat="1" applyFont="1" applyAlignment="1">
      <alignment vertical="center"/>
    </xf>
    <xf numFmtId="0" fontId="0" fillId="0" borderId="0" xfId="0" applyNumberFormat="1" applyFont="1" applyAlignment="1">
      <alignment vertical="center"/>
    </xf>
    <xf numFmtId="0" fontId="0" fillId="0" borderId="0" xfId="33" applyFont="1" applyAlignment="1">
      <alignment horizontal="center" vertical="center" wrapText="1"/>
    </xf>
    <xf numFmtId="49" fontId="8" fillId="0" borderId="0" xfId="33" applyNumberFormat="1" applyFont="1" applyAlignment="1">
      <alignment horizontal="center" vertical="center" wrapText="1"/>
    </xf>
    <xf numFmtId="49" fontId="8" fillId="0" borderId="0" xfId="0" applyNumberFormat="1" applyFont="1" applyAlignment="1">
      <alignment vertical="center" wrapText="1"/>
    </xf>
    <xf numFmtId="0" fontId="30" fillId="9" borderId="0" xfId="0" applyNumberFormat="1" applyFont="1" applyFill="1" applyAlignment="1">
      <alignment horizontal="center" vertical="center" wrapText="1"/>
    </xf>
    <xf numFmtId="49" fontId="38" fillId="0" borderId="0" xfId="0" applyNumberFormat="1" applyFont="1" applyAlignment="1">
      <alignment horizontal="right" vertical="top"/>
    </xf>
    <xf numFmtId="49" fontId="38" fillId="0" borderId="0" xfId="0" applyNumberFormat="1" applyFont="1">
      <alignment vertical="top"/>
    </xf>
    <xf numFmtId="0" fontId="8" fillId="0" borderId="0" xfId="0" applyNumberFormat="1" applyFont="1" applyAlignment="1">
      <alignment horizontal="center" vertical="center" wrapText="1"/>
    </xf>
    <xf numFmtId="0" fontId="0" fillId="0" borderId="0" xfId="0" applyNumberFormat="1" applyFont="1" applyAlignment="1">
      <alignment vertical="center"/>
    </xf>
    <xf numFmtId="0" fontId="7" fillId="0" borderId="0" xfId="0" applyNumberFormat="1" applyFont="1" applyAlignment="1">
      <alignment vertical="center" wrapText="1"/>
    </xf>
    <xf numFmtId="49" fontId="8" fillId="0" borderId="8" xfId="0" applyNumberFormat="1" applyFont="1" applyBorder="1">
      <alignment vertical="top"/>
    </xf>
    <xf numFmtId="49" fontId="39" fillId="0" borderId="0" xfId="0" applyNumberFormat="1" applyFont="1">
      <alignment vertical="top"/>
    </xf>
    <xf numFmtId="0" fontId="39" fillId="0" borderId="0" xfId="0" applyNumberFormat="1" applyFont="1" applyAlignment="1">
      <alignment vertical="center" wrapText="1"/>
    </xf>
    <xf numFmtId="49" fontId="0" fillId="9" borderId="4" xfId="0" applyNumberFormat="1" applyFont="1" applyFill="1" applyBorder="1" applyAlignment="1">
      <alignment horizontal="center" vertical="center" wrapText="1"/>
    </xf>
    <xf numFmtId="0" fontId="25" fillId="0" borderId="0" xfId="33" applyFont="1" applyAlignment="1">
      <alignment horizontal="left" vertical="center" wrapText="1"/>
    </xf>
    <xf numFmtId="49" fontId="8" fillId="0" borderId="4" xfId="0" applyNumberFormat="1" applyFont="1" applyBorder="1" applyAlignment="1">
      <alignment horizontal="left" vertical="center" wrapText="1"/>
    </xf>
    <xf numFmtId="0" fontId="8" fillId="9" borderId="9" xfId="0" applyNumberFormat="1" applyFont="1" applyFill="1" applyBorder="1" applyAlignment="1">
      <alignment horizontal="center" vertical="center"/>
    </xf>
    <xf numFmtId="0" fontId="8" fillId="0" borderId="4" xfId="0" applyNumberFormat="1" applyFont="1" applyBorder="1" applyAlignment="1">
      <alignment vertical="center" wrapText="1"/>
    </xf>
    <xf numFmtId="49" fontId="0" fillId="0" borderId="0" xfId="0" applyNumberFormat="1" applyFont="1" applyAlignment="1">
      <alignment vertical="center"/>
    </xf>
    <xf numFmtId="49" fontId="0" fillId="0" borderId="0" xfId="0" applyNumberFormat="1" applyFont="1">
      <alignment vertical="top"/>
    </xf>
    <xf numFmtId="0" fontId="41" fillId="0" borderId="0" xfId="0" applyNumberFormat="1" applyFont="1" applyAlignment="1">
      <alignment vertical="center"/>
    </xf>
    <xf numFmtId="0" fontId="40" fillId="0" borderId="0" xfId="0" applyNumberFormat="1" applyFont="1" applyAlignment="1">
      <alignment vertical="center"/>
    </xf>
    <xf numFmtId="0" fontId="40" fillId="0" borderId="0" xfId="0" applyNumberFormat="1" applyFont="1" applyAlignment="1">
      <alignment vertical="center"/>
    </xf>
    <xf numFmtId="0" fontId="0" fillId="0" borderId="0" xfId="0" applyNumberFormat="1" applyFont="1" applyAlignment="1">
      <alignment vertical="top" wrapText="1"/>
    </xf>
    <xf numFmtId="49" fontId="8" fillId="0" borderId="4" xfId="0" applyNumberFormat="1" applyFont="1" applyBorder="1" applyAlignment="1">
      <alignment horizontal="center" vertical="center" wrapText="1"/>
    </xf>
    <xf numFmtId="0" fontId="7" fillId="0" borderId="10" xfId="0" applyNumberFormat="1" applyFont="1" applyBorder="1" applyAlignment="1">
      <alignment vertical="top" wrapText="1"/>
    </xf>
    <xf numFmtId="49" fontId="0" fillId="0" borderId="4" xfId="0" applyNumberFormat="1" applyFont="1" applyBorder="1" applyAlignment="1">
      <alignment vertical="top" wrapText="1"/>
    </xf>
    <xf numFmtId="0" fontId="0" fillId="0" borderId="4" xfId="0" applyNumberFormat="1" applyFont="1" applyBorder="1" applyAlignment="1">
      <alignment vertical="top" wrapText="1"/>
    </xf>
    <xf numFmtId="0" fontId="0" fillId="0" borderId="0" xfId="0" applyNumberFormat="1" applyFont="1" applyAlignment="1"/>
    <xf numFmtId="0" fontId="30"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0" fontId="8" fillId="0" borderId="0" xfId="0" applyNumberFormat="1" applyFont="1" applyAlignment="1">
      <alignment horizontal="right" vertical="center" wrapText="1"/>
    </xf>
    <xf numFmtId="4" fontId="8" fillId="0" borderId="0" xfId="0" applyNumberFormat="1" applyFont="1" applyAlignment="1">
      <alignment horizontal="right" vertical="center" wrapText="1"/>
    </xf>
    <xf numFmtId="0" fontId="8" fillId="0" borderId="0" xfId="0" applyNumberFormat="1" applyFont="1" applyAlignment="1">
      <alignment horizontal="left" vertical="center" wrapText="1" indent="1"/>
    </xf>
    <xf numFmtId="49" fontId="8" fillId="0" borderId="0" xfId="0" applyNumberFormat="1" applyFont="1">
      <alignment vertical="top"/>
    </xf>
    <xf numFmtId="4" fontId="8" fillId="0" borderId="0" xfId="0" applyNumberFormat="1" applyFont="1" applyAlignment="1">
      <alignment horizontal="center" vertical="center" wrapText="1"/>
    </xf>
    <xf numFmtId="0" fontId="39" fillId="0" borderId="0" xfId="0" applyNumberFormat="1" applyFont="1" applyAlignment="1">
      <alignment vertical="center"/>
    </xf>
    <xf numFmtId="171" fontId="8" fillId="0" borderId="4" xfId="0" applyNumberFormat="1" applyFont="1" applyBorder="1" applyAlignment="1">
      <alignment horizontal="center" vertical="center" wrapText="1"/>
    </xf>
    <xf numFmtId="49" fontId="39" fillId="13" borderId="11" xfId="0" applyNumberFormat="1" applyFont="1" applyFill="1" applyBorder="1" applyAlignment="1">
      <alignment horizontal="left" vertical="center" wrapText="1"/>
    </xf>
    <xf numFmtId="49" fontId="0" fillId="13" borderId="7" xfId="0" applyNumberFormat="1" applyFont="1" applyFill="1" applyBorder="1" applyAlignment="1">
      <alignment horizontal="left" vertical="center"/>
    </xf>
    <xf numFmtId="49" fontId="39" fillId="13" borderId="12" xfId="0" applyNumberFormat="1" applyFont="1" applyFill="1" applyBorder="1" applyAlignment="1">
      <alignment horizontal="left" vertical="center" wrapText="1"/>
    </xf>
    <xf numFmtId="0" fontId="29" fillId="0" borderId="0" xfId="0" applyNumberFormat="1" applyFont="1" applyAlignment="1">
      <alignment horizontal="center" vertical="center" wrapText="1"/>
    </xf>
    <xf numFmtId="49" fontId="19" fillId="13" borderId="7" xfId="0" applyNumberFormat="1" applyFont="1" applyFill="1" applyBorder="1" applyAlignment="1">
      <alignment horizontal="right" vertical="center" wrapText="1"/>
    </xf>
    <xf numFmtId="49" fontId="8" fillId="13" borderId="7" xfId="0" applyNumberFormat="1" applyFont="1" applyFill="1" applyBorder="1" applyAlignment="1">
      <alignment horizontal="right" vertical="center" wrapText="1"/>
    </xf>
    <xf numFmtId="49" fontId="8" fillId="13" borderId="5" xfId="0" applyNumberFormat="1" applyFont="1" applyFill="1" applyBorder="1" applyAlignment="1">
      <alignment horizontal="right" vertical="center" wrapText="1"/>
    </xf>
    <xf numFmtId="0" fontId="8" fillId="0" borderId="13" xfId="0" applyNumberFormat="1" applyFont="1" applyBorder="1" applyAlignment="1">
      <alignment vertical="center" wrapText="1"/>
    </xf>
    <xf numFmtId="0" fontId="38" fillId="0" borderId="0" xfId="0" applyNumberFormat="1" applyFont="1" applyAlignment="1">
      <alignment vertical="center" wrapText="1"/>
    </xf>
    <xf numFmtId="0" fontId="42" fillId="0" borderId="0" xfId="0" applyNumberFormat="1" applyFont="1" applyAlignment="1">
      <alignment horizontal="center" vertical="center" wrapText="1"/>
    </xf>
    <xf numFmtId="0" fontId="39" fillId="0" borderId="0" xfId="0" applyNumberFormat="1" applyFont="1" applyAlignment="1">
      <alignment vertical="center"/>
    </xf>
    <xf numFmtId="49" fontId="0" fillId="13" borderId="7" xfId="0" applyNumberFormat="1" applyFont="1" applyFill="1" applyBorder="1" applyAlignment="1">
      <alignment horizontal="right" vertical="center" wrapText="1"/>
    </xf>
    <xf numFmtId="49" fontId="0" fillId="0" borderId="0" xfId="0" applyNumberFormat="1" applyFont="1">
      <alignment vertical="top"/>
    </xf>
    <xf numFmtId="0" fontId="19" fillId="0" borderId="1" xfId="0" applyNumberFormat="1" applyFont="1" applyBorder="1" applyAlignment="1">
      <alignment vertical="center" wrapText="1"/>
    </xf>
    <xf numFmtId="0" fontId="7" fillId="0" borderId="0" xfId="33" applyFont="1" applyAlignment="1">
      <alignment vertical="top" wrapText="1"/>
    </xf>
    <xf numFmtId="0" fontId="8" fillId="0" borderId="1" xfId="0" applyNumberFormat="1" applyFont="1" applyBorder="1" applyAlignment="1">
      <alignment vertical="center" wrapText="1"/>
    </xf>
    <xf numFmtId="49" fontId="8" fillId="0" borderId="0" xfId="0" applyNumberFormat="1" applyFont="1">
      <alignment vertical="top"/>
    </xf>
    <xf numFmtId="0" fontId="8" fillId="9" borderId="0" xfId="0" applyNumberFormat="1" applyFont="1" applyFill="1" applyAlignment="1">
      <alignment horizontal="right" vertical="center"/>
    </xf>
    <xf numFmtId="0" fontId="0" fillId="0" borderId="4" xfId="0" applyNumberFormat="1" applyFont="1" applyBorder="1" applyAlignment="1">
      <alignment horizontal="left" vertical="center" wrapText="1" indent="1"/>
    </xf>
    <xf numFmtId="49" fontId="40" fillId="0" borderId="0" xfId="0" applyNumberFormat="1" applyFont="1">
      <alignment vertical="top"/>
    </xf>
    <xf numFmtId="0" fontId="0" fillId="0" borderId="4"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33" fillId="13" borderId="7" xfId="0" applyNumberFormat="1" applyFont="1" applyFill="1" applyBorder="1" applyAlignment="1">
      <alignment horizontal="left" vertical="center" indent="3"/>
    </xf>
    <xf numFmtId="49" fontId="37" fillId="13" borderId="5" xfId="0" applyNumberFormat="1" applyFont="1" applyFill="1" applyBorder="1" applyAlignment="1">
      <alignment horizontal="center" vertical="top"/>
    </xf>
    <xf numFmtId="0" fontId="7" fillId="0" borderId="0" xfId="0" applyNumberFormat="1" applyFont="1" applyAlignment="1">
      <alignment horizontal="right" vertical="top" wrapText="1"/>
    </xf>
    <xf numFmtId="49" fontId="33" fillId="13" borderId="7" xfId="0" applyNumberFormat="1" applyFont="1" applyFill="1" applyBorder="1" applyAlignment="1">
      <alignment horizontal="left" vertical="center" indent="1"/>
    </xf>
    <xf numFmtId="49" fontId="33" fillId="13" borderId="7" xfId="0" applyNumberFormat="1" applyFont="1" applyFill="1" applyBorder="1" applyAlignment="1">
      <alignment horizontal="left" vertical="center" indent="2"/>
    </xf>
    <xf numFmtId="49" fontId="8" fillId="15" borderId="4" xfId="0" applyNumberFormat="1" applyFont="1" applyFill="1" applyBorder="1" applyAlignment="1">
      <alignment horizontal="left" vertical="center" wrapText="1"/>
    </xf>
    <xf numFmtId="0" fontId="8" fillId="0" borderId="4" xfId="0" applyNumberFormat="1" applyFont="1" applyBorder="1" applyAlignment="1">
      <alignment vertical="top" wrapText="1"/>
    </xf>
    <xf numFmtId="49" fontId="8" fillId="6" borderId="4" xfId="0" applyNumberFormat="1" applyFont="1" applyFill="1" applyBorder="1" applyAlignment="1" applyProtection="1">
      <alignment horizontal="left" vertical="center" wrapText="1"/>
      <protection locked="0"/>
    </xf>
    <xf numFmtId="0" fontId="30" fillId="0" borderId="0" xfId="0" applyNumberFormat="1" applyFont="1" applyAlignment="1">
      <alignment horizontal="center" vertical="center" wrapText="1"/>
    </xf>
    <xf numFmtId="49" fontId="0" fillId="0" borderId="9" xfId="0" applyNumberFormat="1" applyFont="1" applyBorder="1">
      <alignment vertical="top"/>
    </xf>
    <xf numFmtId="0" fontId="40" fillId="0" borderId="0" xfId="0" applyNumberFormat="1" applyFont="1" applyAlignment="1">
      <alignment vertical="center"/>
    </xf>
    <xf numFmtId="0" fontId="20" fillId="0" borderId="0" xfId="0" applyNumberFormat="1" applyFont="1" applyAlignment="1">
      <alignment vertical="center"/>
    </xf>
    <xf numFmtId="49" fontId="13" fillId="14" borderId="4" xfId="0" applyNumberFormat="1" applyFont="1" applyFill="1" applyBorder="1" applyAlignment="1" applyProtection="1">
      <alignment horizontal="left" vertical="center" wrapText="1"/>
      <protection locked="0"/>
    </xf>
    <xf numFmtId="49" fontId="37" fillId="13" borderId="5" xfId="0" applyNumberFormat="1" applyFont="1" applyFill="1" applyBorder="1" applyAlignment="1">
      <alignment horizontal="center" vertical="top"/>
    </xf>
    <xf numFmtId="0" fontId="0" fillId="11" borderId="4" xfId="33" applyFont="1" applyFill="1" applyBorder="1" applyAlignment="1">
      <alignment horizontal="left" vertical="center" wrapText="1" indent="1"/>
    </xf>
    <xf numFmtId="49" fontId="8" fillId="14" borderId="4" xfId="33" applyNumberFormat="1" applyFont="1" applyFill="1" applyBorder="1" applyAlignment="1" applyProtection="1">
      <alignment horizontal="left" vertical="center" wrapText="1" indent="1"/>
      <protection locked="0"/>
    </xf>
    <xf numFmtId="49" fontId="8" fillId="11" borderId="4" xfId="33" applyNumberFormat="1" applyFont="1" applyFill="1" applyBorder="1" applyAlignment="1">
      <alignment horizontal="left" vertical="center" wrapText="1" indent="1"/>
    </xf>
    <xf numFmtId="49" fontId="8" fillId="0" borderId="4" xfId="33" applyNumberFormat="1" applyFont="1" applyBorder="1" applyAlignment="1">
      <alignment horizontal="left" vertical="center" wrapText="1" indent="1"/>
    </xf>
    <xf numFmtId="0" fontId="8" fillId="0" borderId="4" xfId="0" applyNumberFormat="1" applyFont="1" applyBorder="1" applyAlignment="1">
      <alignment horizontal="center" vertical="center" wrapText="1"/>
    </xf>
    <xf numFmtId="0" fontId="7" fillId="0" borderId="0" xfId="0" applyNumberFormat="1" applyFont="1" applyAlignment="1">
      <alignment vertical="center" wrapText="1"/>
    </xf>
    <xf numFmtId="0" fontId="40" fillId="0" borderId="0" xfId="0" applyNumberFormat="1" applyFont="1" applyAlignment="1">
      <alignment horizontal="center" vertical="center" wrapText="1"/>
    </xf>
    <xf numFmtId="0" fontId="0" fillId="0" borderId="4" xfId="0" applyNumberFormat="1" applyFont="1" applyBorder="1" applyAlignment="1">
      <alignment horizontal="left" vertical="center" wrapText="1"/>
    </xf>
    <xf numFmtId="49" fontId="29" fillId="0" borderId="7" xfId="0" applyNumberFormat="1" applyFont="1" applyBorder="1" applyAlignment="1">
      <alignment horizontal="center" vertical="center" wrapText="1"/>
    </xf>
    <xf numFmtId="0" fontId="44" fillId="0" borderId="0" xfId="0" applyNumberFormat="1" applyFont="1" applyAlignment="1">
      <alignment vertical="center"/>
    </xf>
    <xf numFmtId="0" fontId="45" fillId="0" borderId="0" xfId="0" applyNumberFormat="1" applyFont="1" applyAlignment="1">
      <alignment vertical="center"/>
    </xf>
    <xf numFmtId="0" fontId="40" fillId="0" borderId="0" xfId="0" applyNumberFormat="1" applyFont="1" applyAlignment="1">
      <alignment vertical="center"/>
    </xf>
    <xf numFmtId="0" fontId="40" fillId="0" borderId="0" xfId="0" applyNumberFormat="1" applyFont="1" applyAlignment="1">
      <alignment horizontal="left" vertical="center" wrapText="1" indent="1"/>
    </xf>
    <xf numFmtId="0" fontId="39" fillId="0" borderId="0" xfId="0" applyNumberFormat="1" applyFont="1" applyAlignment="1">
      <alignment horizontal="left" vertical="center" wrapText="1" indent="1"/>
    </xf>
    <xf numFmtId="0" fontId="46" fillId="0" borderId="0" xfId="0" applyNumberFormat="1" applyFont="1" applyAlignment="1">
      <alignment horizontal="left" vertical="center" wrapText="1" indent="1"/>
    </xf>
    <xf numFmtId="0" fontId="47" fillId="0" borderId="0" xfId="0" applyNumberFormat="1" applyFont="1" applyAlignment="1">
      <alignment horizontal="left" vertical="center" indent="1"/>
    </xf>
    <xf numFmtId="0" fontId="48" fillId="0" borderId="0" xfId="33" applyFont="1" applyAlignment="1">
      <alignment horizontal="left" vertical="center" wrapText="1"/>
    </xf>
    <xf numFmtId="0" fontId="49" fillId="0" borderId="0" xfId="33" applyFont="1" applyAlignment="1">
      <alignment vertical="center" wrapText="1"/>
    </xf>
    <xf numFmtId="0" fontId="50" fillId="9" borderId="0" xfId="33" applyFont="1" applyFill="1" applyAlignment="1">
      <alignment vertical="center" wrapText="1"/>
    </xf>
    <xf numFmtId="0" fontId="51" fillId="9" borderId="0" xfId="33" applyFont="1" applyFill="1" applyAlignment="1">
      <alignment horizontal="right" vertical="center" wrapText="1" indent="1"/>
    </xf>
    <xf numFmtId="0" fontId="50" fillId="9" borderId="0" xfId="33" applyFont="1" applyFill="1" applyAlignment="1">
      <alignment horizontal="right" vertical="center" wrapText="1" indent="1"/>
    </xf>
    <xf numFmtId="0" fontId="52" fillId="9" borderId="0" xfId="33" applyFont="1" applyFill="1" applyAlignment="1">
      <alignment horizontal="center" vertical="center" wrapText="1"/>
    </xf>
    <xf numFmtId="0" fontId="48" fillId="9" borderId="0" xfId="33" applyFont="1" applyFill="1" applyAlignment="1">
      <alignment horizontal="center" vertical="center" wrapText="1"/>
    </xf>
    <xf numFmtId="0" fontId="50" fillId="9" borderId="0" xfId="33" applyFont="1" applyFill="1" applyAlignment="1">
      <alignment horizontal="left" vertical="center" wrapText="1" indent="1"/>
    </xf>
    <xf numFmtId="0" fontId="53" fillId="0" borderId="0" xfId="33" applyFont="1" applyAlignment="1">
      <alignment horizontal="left" vertical="center" wrapText="1"/>
    </xf>
    <xf numFmtId="0" fontId="53" fillId="0" borderId="0" xfId="33" applyFont="1" applyAlignment="1">
      <alignment vertical="center" wrapText="1"/>
    </xf>
    <xf numFmtId="0" fontId="50" fillId="0" borderId="0" xfId="33" applyFont="1" applyAlignment="1">
      <alignment vertical="center" wrapText="1"/>
    </xf>
    <xf numFmtId="0" fontId="50" fillId="0" borderId="0" xfId="33" applyFont="1" applyAlignment="1">
      <alignment horizontal="right" vertical="center"/>
    </xf>
    <xf numFmtId="0" fontId="0" fillId="0" borderId="0" xfId="0" applyNumberFormat="1" applyFont="1" applyAlignment="1">
      <alignment horizontal="left" vertical="center" indent="1"/>
    </xf>
    <xf numFmtId="0" fontId="40" fillId="0" borderId="0" xfId="0" applyNumberFormat="1" applyFont="1" applyAlignment="1">
      <alignment horizontal="left" vertical="center" indent="1"/>
    </xf>
    <xf numFmtId="0" fontId="40" fillId="0" borderId="0" xfId="0" applyNumberFormat="1" applyFont="1" applyAlignment="1">
      <alignment horizontal="left" vertical="center" indent="1"/>
    </xf>
    <xf numFmtId="0" fontId="40" fillId="0" borderId="14" xfId="0" applyNumberFormat="1" applyFont="1" applyBorder="1" applyAlignment="1">
      <alignment vertical="center"/>
    </xf>
    <xf numFmtId="0" fontId="8" fillId="0" borderId="4" xfId="0" applyNumberFormat="1" applyFont="1" applyBorder="1" applyAlignment="1">
      <alignment horizontal="center" vertical="center" wrapText="1"/>
    </xf>
    <xf numFmtId="0" fontId="0" fillId="0" borderId="4" xfId="0" applyNumberFormat="1" applyFont="1" applyBorder="1" applyAlignment="1">
      <alignment horizontal="center" vertical="center"/>
    </xf>
    <xf numFmtId="49" fontId="0" fillId="0" borderId="4" xfId="0" applyNumberFormat="1" applyFont="1" applyBorder="1" applyAlignment="1">
      <alignment horizontal="center" vertical="center"/>
    </xf>
    <xf numFmtId="49" fontId="0" fillId="0" borderId="4" xfId="0" applyNumberFormat="1" applyFont="1" applyBorder="1" applyAlignment="1">
      <alignment horizontal="left" vertical="center"/>
    </xf>
    <xf numFmtId="49" fontId="8" fillId="0" borderId="0" xfId="0" applyNumberFormat="1" applyFont="1">
      <alignment vertical="top"/>
    </xf>
    <xf numFmtId="0" fontId="8" fillId="0" borderId="0" xfId="0" applyNumberFormat="1" applyFont="1" applyAlignment="1">
      <alignment horizontal="left" vertical="center" wrapText="1" indent="2"/>
    </xf>
    <xf numFmtId="0" fontId="8" fillId="0" borderId="4" xfId="0" applyNumberFormat="1" applyFont="1" applyBorder="1" applyAlignment="1">
      <alignment vertical="top" wrapText="1"/>
    </xf>
    <xf numFmtId="0" fontId="8" fillId="0" borderId="4" xfId="0" applyNumberFormat="1" applyFont="1" applyBorder="1" applyAlignment="1">
      <alignment horizontal="left" vertical="top" wrapText="1"/>
    </xf>
    <xf numFmtId="0" fontId="8" fillId="0" borderId="4" xfId="0" applyNumberFormat="1" applyFont="1" applyBorder="1" applyAlignment="1">
      <alignment horizontal="left" vertical="center" wrapText="1"/>
    </xf>
    <xf numFmtId="0" fontId="8" fillId="0" borderId="4" xfId="0" applyNumberFormat="1" applyFont="1" applyBorder="1" applyAlignment="1">
      <alignment horizontal="center" vertical="center" wrapText="1"/>
    </xf>
    <xf numFmtId="49" fontId="8" fillId="0" borderId="9" xfId="0" applyNumberFormat="1" applyFont="1" applyBorder="1" applyAlignment="1">
      <alignment horizontal="left" vertical="center" wrapText="1"/>
    </xf>
    <xf numFmtId="49" fontId="19" fillId="13" borderId="6" xfId="0" applyNumberFormat="1" applyFont="1" applyFill="1" applyBorder="1" applyAlignment="1">
      <alignment horizontal="center" vertical="center"/>
    </xf>
    <xf numFmtId="49" fontId="33" fillId="13" borderId="5" xfId="0" applyNumberFormat="1" applyFont="1" applyFill="1" applyBorder="1" applyAlignment="1">
      <alignment horizontal="left" vertical="center"/>
    </xf>
    <xf numFmtId="0" fontId="8" fillId="0" borderId="0" xfId="0" applyNumberFormat="1" applyFont="1" applyAlignment="1"/>
    <xf numFmtId="0" fontId="54" fillId="0" borderId="0" xfId="0" applyNumberFormat="1" applyFont="1" applyAlignment="1">
      <alignment vertical="center" wrapText="1"/>
    </xf>
    <xf numFmtId="0" fontId="54" fillId="0" borderId="0" xfId="0" applyNumberFormat="1" applyFont="1" applyAlignment="1">
      <alignment vertical="center" wrapText="1"/>
    </xf>
    <xf numFmtId="0" fontId="54" fillId="0" borderId="0" xfId="0" applyNumberFormat="1" applyFont="1" applyAlignment="1"/>
    <xf numFmtId="49" fontId="55" fillId="0" borderId="0" xfId="0" applyNumberFormat="1" applyFont="1">
      <alignment vertical="top"/>
    </xf>
    <xf numFmtId="49" fontId="56" fillId="0" borderId="0" xfId="0" applyNumberFormat="1" applyFont="1">
      <alignment vertical="top"/>
    </xf>
    <xf numFmtId="0" fontId="8" fillId="0" borderId="0" xfId="33" applyFont="1" applyAlignment="1">
      <alignment horizontal="center" vertical="center" wrapText="1"/>
    </xf>
    <xf numFmtId="49" fontId="8" fillId="14" borderId="4" xfId="0" applyNumberFormat="1" applyFont="1" applyFill="1" applyBorder="1" applyAlignment="1" applyProtection="1">
      <alignment horizontal="left" vertical="center" wrapText="1" indent="1"/>
      <protection locked="0"/>
    </xf>
    <xf numFmtId="0" fontId="40" fillId="0" borderId="0" xfId="0" applyNumberFormat="1" applyFont="1">
      <alignment vertical="top"/>
    </xf>
    <xf numFmtId="49" fontId="40" fillId="0" borderId="0" xfId="0" applyNumberFormat="1" applyFont="1">
      <alignment vertical="top"/>
    </xf>
    <xf numFmtId="0" fontId="0" fillId="0" borderId="0" xfId="0" applyNumberFormat="1" applyFont="1">
      <alignment vertical="top"/>
    </xf>
    <xf numFmtId="49" fontId="8" fillId="0" borderId="4" xfId="0" applyNumberFormat="1" applyFont="1" applyBorder="1" applyAlignment="1">
      <alignment horizontal="right" vertical="center"/>
    </xf>
    <xf numFmtId="0" fontId="40" fillId="0" borderId="0" xfId="0" applyNumberFormat="1" applyFont="1" applyAlignment="1">
      <alignment vertical="center"/>
    </xf>
    <xf numFmtId="0" fontId="7" fillId="0" borderId="0" xfId="0" applyNumberFormat="1" applyFont="1" applyAlignment="1">
      <alignment horizontal="center" vertical="center" wrapText="1"/>
    </xf>
    <xf numFmtId="0" fontId="0" fillId="0" borderId="0" xfId="0" applyNumberFormat="1" applyFont="1" applyAlignment="1">
      <alignment horizontal="center" vertical="center"/>
    </xf>
    <xf numFmtId="0" fontId="40" fillId="0" borderId="0" xfId="0" applyNumberFormat="1" applyFont="1" applyAlignment="1">
      <alignment vertical="center" wrapText="1"/>
    </xf>
    <xf numFmtId="0" fontId="8" fillId="0" borderId="4" xfId="0" applyNumberFormat="1" applyFont="1" applyBorder="1" applyAlignment="1">
      <alignment horizontal="left" vertical="center" wrapText="1"/>
    </xf>
    <xf numFmtId="0" fontId="58" fillId="0" borderId="0" xfId="0" applyNumberFormat="1" applyFont="1" applyAlignment="1">
      <alignment vertical="center"/>
    </xf>
    <xf numFmtId="49" fontId="29" fillId="9" borderId="0" xfId="0" applyNumberFormat="1" applyFont="1" applyFill="1" applyAlignment="1">
      <alignment horizontal="center" vertical="center" wrapText="1"/>
    </xf>
    <xf numFmtId="0" fontId="8" fillId="0" borderId="4" xfId="0" applyNumberFormat="1" applyFont="1" applyBorder="1" applyAlignment="1">
      <alignment horizontal="center" vertical="center" wrapText="1"/>
    </xf>
    <xf numFmtId="49" fontId="8" fillId="0" borderId="4" xfId="0" applyNumberFormat="1" applyFont="1" applyBorder="1" applyAlignment="1">
      <alignment horizontal="center" vertical="center" wrapText="1"/>
    </xf>
    <xf numFmtId="0" fontId="8" fillId="9" borderId="4" xfId="0" applyNumberFormat="1" applyFont="1" applyFill="1" applyBorder="1" applyAlignment="1">
      <alignment horizontal="left" vertical="center" wrapText="1" indent="4"/>
    </xf>
    <xf numFmtId="0" fontId="8" fillId="9" borderId="4" xfId="0" applyNumberFormat="1" applyFont="1" applyFill="1" applyBorder="1" applyAlignment="1">
      <alignment horizontal="left" vertical="center" wrapText="1" indent="5"/>
    </xf>
    <xf numFmtId="49" fontId="33" fillId="13" borderId="7" xfId="0" applyNumberFormat="1" applyFont="1" applyFill="1" applyBorder="1" applyAlignment="1">
      <alignment horizontal="left" vertical="center" indent="5"/>
    </xf>
    <xf numFmtId="49" fontId="33" fillId="13" borderId="7" xfId="0" applyNumberFormat="1" applyFont="1" applyFill="1" applyBorder="1" applyAlignment="1">
      <alignment horizontal="left" vertical="center" indent="6"/>
    </xf>
    <xf numFmtId="0" fontId="8" fillId="0" borderId="4" xfId="0" applyNumberFormat="1" applyFont="1" applyBorder="1" applyAlignment="1">
      <alignment vertical="center" wrapText="1"/>
    </xf>
    <xf numFmtId="0" fontId="7" fillId="0" borderId="0" xfId="0" applyNumberFormat="1" applyFont="1" applyAlignment="1">
      <alignment vertical="center" wrapText="1"/>
    </xf>
    <xf numFmtId="0" fontId="59" fillId="9" borderId="0" xfId="0" applyNumberFormat="1" applyFont="1" applyFill="1" applyAlignment="1">
      <alignment vertical="center" wrapText="1"/>
    </xf>
    <xf numFmtId="49" fontId="8" fillId="0" borderId="4" xfId="0" applyNumberFormat="1" applyFont="1" applyBorder="1" applyAlignment="1">
      <alignment horizontal="center" vertical="center" wrapText="1"/>
    </xf>
    <xf numFmtId="49" fontId="0" fillId="0" borderId="0" xfId="0" applyNumberFormat="1" applyFont="1">
      <alignment vertical="top"/>
    </xf>
    <xf numFmtId="49" fontId="33" fillId="13" borderId="6" xfId="0" applyNumberFormat="1" applyFont="1" applyFill="1" applyBorder="1" applyAlignment="1">
      <alignment horizontal="left" vertical="center" indent="1"/>
    </xf>
    <xf numFmtId="0" fontId="0" fillId="9" borderId="4" xfId="33" applyFont="1" applyFill="1" applyBorder="1" applyAlignment="1">
      <alignment horizontal="right" vertical="center" wrapText="1" indent="1"/>
    </xf>
    <xf numFmtId="49" fontId="0" fillId="0" borderId="4" xfId="0" applyNumberFormat="1" applyFont="1" applyBorder="1" applyAlignment="1">
      <alignment horizontal="left" vertical="center"/>
    </xf>
    <xf numFmtId="0" fontId="8" fillId="0" borderId="4" xfId="0" applyNumberFormat="1" applyFont="1" applyBorder="1" applyAlignment="1">
      <alignment vertical="top" wrapText="1"/>
    </xf>
    <xf numFmtId="0" fontId="8" fillId="0" borderId="4" xfId="0" applyNumberFormat="1" applyFont="1" applyBorder="1" applyAlignment="1">
      <alignment vertical="center" wrapText="1"/>
    </xf>
    <xf numFmtId="0" fontId="57" fillId="0" borderId="0" xfId="0" applyNumberFormat="1" applyFont="1" applyAlignment="1">
      <alignment vertical="center"/>
    </xf>
    <xf numFmtId="0" fontId="8" fillId="0" borderId="4" xfId="0" applyNumberFormat="1" applyFont="1" applyBorder="1" applyAlignment="1">
      <alignment horizontal="left" vertical="center" wrapText="1" indent="6"/>
    </xf>
    <xf numFmtId="0" fontId="8" fillId="0" borderId="9" xfId="0" applyNumberFormat="1" applyFont="1" applyBorder="1" applyAlignment="1">
      <alignment vertical="center" wrapText="1"/>
    </xf>
    <xf numFmtId="0" fontId="8" fillId="0" borderId="15" xfId="0" applyNumberFormat="1" applyFont="1" applyBorder="1" applyAlignment="1">
      <alignment vertical="center" wrapText="1"/>
    </xf>
    <xf numFmtId="49" fontId="0" fillId="13" borderId="5" xfId="0" applyNumberFormat="1" applyFont="1" applyFill="1" applyBorder="1" applyAlignment="1">
      <alignment horizontal="center" vertical="center" wrapText="1"/>
    </xf>
    <xf numFmtId="0" fontId="0" fillId="0" borderId="6" xfId="0" applyNumberFormat="1" applyFont="1" applyBorder="1" applyAlignment="1">
      <alignment vertical="center"/>
    </xf>
    <xf numFmtId="168" fontId="0" fillId="14" borderId="4" xfId="0" applyNumberFormat="1" applyFont="1" applyFill="1" applyBorder="1" applyAlignment="1" applyProtection="1">
      <alignment horizontal="right" vertical="center"/>
      <protection locked="0"/>
    </xf>
    <xf numFmtId="0" fontId="0" fillId="9" borderId="6" xfId="33" applyFont="1" applyFill="1" applyBorder="1" applyAlignment="1">
      <alignment horizontal="right" vertical="center" wrapText="1" indent="1"/>
    </xf>
    <xf numFmtId="49" fontId="25" fillId="0" borderId="0" xfId="0" applyNumberFormat="1" applyFont="1">
      <alignment vertical="top"/>
    </xf>
    <xf numFmtId="0" fontId="32" fillId="9" borderId="0" xfId="0" applyNumberFormat="1" applyFont="1" applyFill="1" applyAlignment="1">
      <alignment vertical="center" wrapText="1"/>
    </xf>
    <xf numFmtId="49" fontId="60" fillId="13" borderId="6" xfId="0" applyNumberFormat="1" applyFont="1" applyFill="1" applyBorder="1" applyAlignment="1">
      <alignment horizontal="center" vertical="center"/>
    </xf>
    <xf numFmtId="0" fontId="8" fillId="9" borderId="4" xfId="0" applyNumberFormat="1" applyFont="1" applyFill="1" applyBorder="1" applyAlignment="1">
      <alignment horizontal="left" vertical="center" wrapText="1" indent="1"/>
    </xf>
    <xf numFmtId="0" fontId="8" fillId="9" borderId="4" xfId="0" applyNumberFormat="1" applyFont="1" applyFill="1" applyBorder="1" applyAlignment="1">
      <alignment horizontal="left" vertical="center" wrapText="1" indent="2"/>
    </xf>
    <xf numFmtId="0" fontId="8" fillId="9" borderId="4" xfId="0" applyNumberFormat="1" applyFont="1" applyFill="1" applyBorder="1" applyAlignment="1">
      <alignment horizontal="left" vertical="center" wrapText="1" indent="3"/>
    </xf>
    <xf numFmtId="0" fontId="8" fillId="0" borderId="4" xfId="0" applyNumberFormat="1" applyFont="1" applyBorder="1" applyAlignment="1">
      <alignment horizontal="left" vertical="center" wrapText="1" indent="4"/>
    </xf>
    <xf numFmtId="49" fontId="33" fillId="13" borderId="6" xfId="0" applyNumberFormat="1" applyFont="1" applyFill="1" applyBorder="1" applyAlignment="1">
      <alignment vertical="center" wrapText="1"/>
    </xf>
    <xf numFmtId="49" fontId="33" fillId="13" borderId="7" xfId="0" applyNumberFormat="1" applyFont="1" applyFill="1" applyBorder="1" applyAlignment="1">
      <alignment vertical="center"/>
    </xf>
    <xf numFmtId="49" fontId="33" fillId="13" borderId="7" xfId="0" applyNumberFormat="1" applyFont="1" applyFill="1" applyBorder="1" applyAlignment="1">
      <alignment vertical="center" wrapText="1"/>
    </xf>
    <xf numFmtId="0" fontId="8" fillId="0" borderId="4" xfId="0" applyNumberFormat="1" applyFont="1" applyBorder="1" applyAlignment="1">
      <alignment vertical="center" wrapText="1"/>
    </xf>
    <xf numFmtId="49" fontId="8" fillId="0" borderId="4" xfId="0" applyNumberFormat="1" applyFont="1" applyBorder="1" applyAlignment="1">
      <alignment vertical="center" wrapText="1"/>
    </xf>
    <xf numFmtId="0" fontId="8" fillId="0" borderId="0" xfId="0" applyNumberFormat="1" applyFont="1" applyAlignment="1">
      <alignment vertical="top" wrapText="1"/>
    </xf>
    <xf numFmtId="49" fontId="33" fillId="13" borderId="6" xfId="0" applyNumberFormat="1" applyFont="1" applyFill="1" applyBorder="1" applyAlignment="1">
      <alignment horizontal="left" vertical="center"/>
    </xf>
    <xf numFmtId="49" fontId="0" fillId="0" borderId="4" xfId="0" applyNumberFormat="1" applyFont="1" applyBorder="1" applyAlignment="1">
      <alignment vertical="center" wrapText="1"/>
    </xf>
    <xf numFmtId="0" fontId="0" fillId="13" borderId="7" xfId="0" applyNumberFormat="1" applyFont="1" applyFill="1" applyBorder="1" applyAlignment="1">
      <alignment vertical="center"/>
    </xf>
    <xf numFmtId="0" fontId="0" fillId="0" borderId="0" xfId="0" applyNumberFormat="1" applyFont="1" applyAlignment="1">
      <alignment vertical="center"/>
    </xf>
    <xf numFmtId="0" fontId="33" fillId="13" borderId="6" xfId="0" applyNumberFormat="1" applyFont="1" applyFill="1" applyBorder="1" applyAlignment="1">
      <alignment horizontal="left" vertical="center"/>
    </xf>
    <xf numFmtId="0" fontId="33" fillId="13" borderId="7" xfId="0" applyNumberFormat="1" applyFont="1" applyFill="1" applyBorder="1" applyAlignment="1">
      <alignment horizontal="left" vertical="center"/>
    </xf>
    <xf numFmtId="0" fontId="33" fillId="13" borderId="5"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0" fillId="0" borderId="0" xfId="33" applyFont="1" applyAlignment="1">
      <alignment horizontal="right" vertical="center" wrapText="1" indent="1"/>
    </xf>
    <xf numFmtId="0" fontId="19" fillId="9" borderId="0" xfId="0" applyNumberFormat="1" applyFont="1" applyFill="1" applyAlignment="1">
      <alignment horizontal="center" vertical="center" wrapText="1"/>
    </xf>
    <xf numFmtId="49" fontId="60" fillId="13" borderId="7" xfId="0" applyNumberFormat="1" applyFont="1" applyFill="1" applyBorder="1" applyAlignment="1">
      <alignment horizontal="left" vertical="center"/>
    </xf>
    <xf numFmtId="0" fontId="8" fillId="0" borderId="0" xfId="0" applyNumberFormat="1" applyFont="1" applyAlignment="1">
      <alignment vertical="center" wrapText="1"/>
    </xf>
    <xf numFmtId="49" fontId="8" fillId="13" borderId="5" xfId="0" applyNumberFormat="1" applyFont="1" applyFill="1" applyBorder="1" applyAlignment="1">
      <alignment horizontal="center" vertical="center" wrapText="1"/>
    </xf>
    <xf numFmtId="49" fontId="0" fillId="13" borderId="7" xfId="0" applyNumberFormat="1" applyFont="1" applyFill="1" applyBorder="1" applyAlignment="1">
      <alignment horizontal="center" vertical="center" wrapText="1"/>
    </xf>
    <xf numFmtId="0" fontId="8" fillId="0" borderId="0" xfId="0" applyNumberFormat="1" applyFont="1" applyAlignment="1">
      <alignment vertical="center" wrapText="1"/>
    </xf>
    <xf numFmtId="0" fontId="8" fillId="0" borderId="0" xfId="0" applyNumberFormat="1" applyFont="1" applyAlignment="1">
      <alignment vertical="center" wrapText="1"/>
    </xf>
    <xf numFmtId="0" fontId="0" fillId="0" borderId="0" xfId="0" applyNumberFormat="1" applyFont="1" applyAlignment="1">
      <alignment vertical="center"/>
    </xf>
    <xf numFmtId="0" fontId="0" fillId="0" borderId="4" xfId="0" applyNumberFormat="1" applyFont="1" applyBorder="1" applyAlignment="1">
      <alignment horizontal="left" vertical="center" wrapText="1" indent="1"/>
    </xf>
    <xf numFmtId="49" fontId="61" fillId="0" borderId="6" xfId="0" applyNumberFormat="1" applyFont="1" applyBorder="1" applyAlignment="1">
      <alignment horizontal="left" vertical="center" wrapText="1"/>
    </xf>
    <xf numFmtId="49" fontId="57" fillId="0" borderId="4" xfId="0" applyNumberFormat="1" applyFont="1" applyBorder="1" applyAlignment="1">
      <alignment horizontal="center" vertical="center" wrapText="1"/>
    </xf>
    <xf numFmtId="0" fontId="62" fillId="0" borderId="0" xfId="0" applyNumberFormat="1" applyFont="1" applyAlignment="1">
      <alignment vertical="center" wrapText="1"/>
    </xf>
    <xf numFmtId="0" fontId="8" fillId="0" borderId="0" xfId="0" applyNumberFormat="1" applyFont="1">
      <alignment vertical="top"/>
    </xf>
    <xf numFmtId="0" fontId="8" fillId="0" borderId="0" xfId="0" applyNumberFormat="1" applyFont="1" applyAlignment="1">
      <alignment horizontal="right" vertical="top" wrapText="1"/>
    </xf>
    <xf numFmtId="0" fontId="8" fillId="0" borderId="9" xfId="0" applyNumberFormat="1" applyFont="1" applyBorder="1" applyAlignment="1">
      <alignment vertical="center" wrapText="1"/>
    </xf>
    <xf numFmtId="49" fontId="37" fillId="13" borderId="7" xfId="0" applyNumberFormat="1" applyFont="1" applyFill="1" applyBorder="1" applyAlignment="1">
      <alignment horizontal="center" vertical="top"/>
    </xf>
    <xf numFmtId="0" fontId="8" fillId="0" borderId="15" xfId="0" applyNumberFormat="1" applyFont="1" applyBorder="1" applyAlignment="1">
      <alignment vertical="top" wrapText="1"/>
    </xf>
    <xf numFmtId="0" fontId="0" fillId="0" borderId="0" xfId="0" applyNumberFormat="1" applyFont="1" applyAlignment="1">
      <alignment horizontal="left" vertical="top" wrapText="1"/>
    </xf>
    <xf numFmtId="0" fontId="8" fillId="0" borderId="9" xfId="0" applyNumberFormat="1" applyFont="1" applyBorder="1" applyAlignment="1">
      <alignment vertical="top" wrapText="1"/>
    </xf>
    <xf numFmtId="49" fontId="8" fillId="0" borderId="0" xfId="0" applyNumberFormat="1" applyFont="1">
      <alignment vertical="top"/>
    </xf>
    <xf numFmtId="0" fontId="32" fillId="0" borderId="0" xfId="0" applyNumberFormat="1" applyFont="1" applyAlignment="1">
      <alignment vertical="center" wrapText="1"/>
    </xf>
    <xf numFmtId="0" fontId="8" fillId="0" borderId="4" xfId="0" applyNumberFormat="1" applyFont="1" applyBorder="1" applyAlignment="1">
      <alignment vertical="center" wrapText="1"/>
    </xf>
    <xf numFmtId="49" fontId="8" fillId="0" borderId="0" xfId="0" applyNumberFormat="1" applyFont="1" applyAlignment="1">
      <alignment horizontal="center" vertical="center" wrapText="1"/>
    </xf>
    <xf numFmtId="0" fontId="8" fillId="13" borderId="6" xfId="0" applyNumberFormat="1" applyFont="1" applyFill="1" applyBorder="1" applyAlignment="1">
      <alignment vertical="center" wrapText="1"/>
    </xf>
    <xf numFmtId="0" fontId="8" fillId="14" borderId="4" xfId="33" applyFont="1" applyFill="1" applyBorder="1" applyAlignment="1" applyProtection="1">
      <alignment horizontal="left" vertical="center" wrapText="1" indent="1"/>
      <protection locked="0"/>
    </xf>
    <xf numFmtId="49" fontId="33" fillId="13" borderId="7" xfId="0" applyNumberFormat="1" applyFont="1" applyFill="1" applyBorder="1" applyAlignment="1">
      <alignment horizontal="left" vertical="center" indent="2"/>
    </xf>
    <xf numFmtId="0" fontId="40" fillId="0" borderId="0" xfId="0" applyNumberFormat="1" applyFont="1" applyAlignment="1">
      <alignment vertical="center"/>
    </xf>
    <xf numFmtId="0" fontId="63" fillId="0" borderId="0" xfId="0" applyNumberFormat="1" applyFont="1" applyAlignment="1">
      <alignment vertical="center" wrapText="1"/>
    </xf>
    <xf numFmtId="0" fontId="35" fillId="9" borderId="0" xfId="0" applyNumberFormat="1" applyFont="1" applyFill="1" applyAlignment="1">
      <alignment horizontal="center" vertical="center" wrapText="1"/>
    </xf>
    <xf numFmtId="0" fontId="8" fillId="0" borderId="16" xfId="0" applyNumberFormat="1" applyFont="1" applyBorder="1" applyAlignment="1">
      <alignment vertical="center" wrapText="1"/>
    </xf>
    <xf numFmtId="0" fontId="30" fillId="0" borderId="0" xfId="0" applyNumberFormat="1" applyFont="1" applyAlignment="1">
      <alignment vertical="center" wrapText="1"/>
    </xf>
    <xf numFmtId="49" fontId="8" fillId="0" borderId="16" xfId="0" applyNumberFormat="1" applyFont="1" applyBorder="1">
      <alignment vertical="top"/>
    </xf>
    <xf numFmtId="0" fontId="40" fillId="0" borderId="16" xfId="0" applyNumberFormat="1" applyFont="1" applyBorder="1" applyAlignment="1">
      <alignment horizontal="center" vertical="center" wrapText="1"/>
    </xf>
    <xf numFmtId="0" fontId="40" fillId="0" borderId="16" xfId="0" applyNumberFormat="1" applyFont="1" applyBorder="1" applyAlignment="1">
      <alignment vertical="center" wrapText="1"/>
    </xf>
    <xf numFmtId="49" fontId="25" fillId="0" borderId="0" xfId="0" applyNumberFormat="1" applyFont="1">
      <alignment vertical="top"/>
    </xf>
    <xf numFmtId="49" fontId="0" fillId="0" borderId="16" xfId="0" applyNumberFormat="1" applyFont="1" applyBorder="1">
      <alignment vertical="top"/>
    </xf>
    <xf numFmtId="49" fontId="8" fillId="0" borderId="0" xfId="0" applyNumberFormat="1" applyFont="1">
      <alignment vertical="top"/>
    </xf>
    <xf numFmtId="49" fontId="8" fillId="0" borderId="0" xfId="0" applyNumberFormat="1" applyFont="1" applyAlignment="1">
      <alignment vertical="center" wrapText="1"/>
    </xf>
    <xf numFmtId="0" fontId="30" fillId="9" borderId="0" xfId="0" applyNumberFormat="1" applyFont="1" applyFill="1" applyAlignment="1">
      <alignment vertical="center" wrapText="1"/>
    </xf>
    <xf numFmtId="0" fontId="25" fillId="0" borderId="0" xfId="0" applyNumberFormat="1" applyFont="1" applyAlignment="1">
      <alignment horizontal="center" vertical="center" wrapText="1"/>
    </xf>
    <xf numFmtId="0" fontId="25" fillId="0" borderId="0" xfId="0" applyNumberFormat="1" applyFont="1" applyAlignment="1">
      <alignment vertical="center" wrapText="1"/>
    </xf>
    <xf numFmtId="0" fontId="8" fillId="9" borderId="0" xfId="0" applyNumberFormat="1" applyFont="1" applyFill="1" applyAlignment="1">
      <alignment vertical="center" wrapText="1"/>
    </xf>
    <xf numFmtId="49" fontId="33" fillId="13" borderId="7" xfId="0" applyNumberFormat="1" applyFont="1" applyFill="1" applyBorder="1" applyAlignment="1">
      <alignment horizontal="left" vertical="center" indent="2"/>
    </xf>
    <xf numFmtId="49" fontId="33" fillId="13" borderId="7" xfId="0" applyNumberFormat="1" applyFont="1" applyFill="1" applyBorder="1" applyAlignment="1">
      <alignment horizontal="left" vertical="center" indent="4"/>
    </xf>
    <xf numFmtId="49" fontId="8" fillId="0" borderId="0" xfId="0" applyNumberFormat="1" applyFont="1" applyAlignment="1">
      <alignment vertical="center"/>
    </xf>
    <xf numFmtId="49" fontId="0" fillId="13" borderId="7" xfId="0" applyNumberFormat="1" applyFont="1" applyFill="1" applyBorder="1" applyAlignment="1">
      <alignment horizontal="center" vertical="center" wrapText="1"/>
    </xf>
    <xf numFmtId="49" fontId="8" fillId="13" borderId="7" xfId="0" applyNumberFormat="1" applyFont="1" applyFill="1" applyBorder="1" applyAlignment="1">
      <alignment horizontal="center" vertical="center" wrapText="1"/>
    </xf>
    <xf numFmtId="0" fontId="40" fillId="0" borderId="0" xfId="0" applyNumberFormat="1" applyFont="1" applyAlignment="1">
      <alignment vertical="center"/>
    </xf>
    <xf numFmtId="0" fontId="8" fillId="0" borderId="0" xfId="0" applyNumberFormat="1" applyFont="1" applyAlignment="1">
      <alignment vertical="top" wrapText="1"/>
    </xf>
    <xf numFmtId="49" fontId="8" fillId="0" borderId="4" xfId="0" applyNumberFormat="1" applyFont="1" applyBorder="1" applyAlignment="1">
      <alignment horizontal="right" vertical="top"/>
    </xf>
    <xf numFmtId="49" fontId="8" fillId="0" borderId="9" xfId="0" applyNumberFormat="1" applyFont="1" applyBorder="1" applyAlignment="1">
      <alignment horizontal="right" vertical="top"/>
    </xf>
    <xf numFmtId="49" fontId="33" fillId="13" borderId="7" xfId="0" applyNumberFormat="1" applyFont="1" applyFill="1" applyBorder="1" applyAlignment="1">
      <alignment horizontal="left" vertical="center" indent="3"/>
    </xf>
    <xf numFmtId="49" fontId="0" fillId="0" borderId="0" xfId="0" applyNumberFormat="1" applyFont="1">
      <alignment vertical="top"/>
    </xf>
    <xf numFmtId="0" fontId="8" fillId="0" borderId="0" xfId="0" applyNumberFormat="1" applyFont="1" applyAlignment="1">
      <alignment vertical="center" wrapText="1"/>
    </xf>
    <xf numFmtId="49" fontId="25" fillId="0" borderId="0" xfId="0" applyNumberFormat="1" applyFont="1">
      <alignment vertical="top"/>
    </xf>
    <xf numFmtId="49" fontId="32" fillId="0" borderId="0" xfId="0" applyNumberFormat="1" applyFont="1">
      <alignment vertical="top"/>
    </xf>
    <xf numFmtId="0" fontId="32" fillId="9" borderId="0" xfId="0" applyNumberFormat="1" applyFont="1" applyFill="1" applyAlignment="1">
      <alignment vertical="center" wrapText="1"/>
    </xf>
    <xf numFmtId="49" fontId="8" fillId="0" borderId="0" xfId="0" applyNumberFormat="1" applyFont="1">
      <alignment vertical="top"/>
    </xf>
    <xf numFmtId="49" fontId="8" fillId="14" borderId="4" xfId="0" applyNumberFormat="1" applyFont="1" applyFill="1" applyBorder="1" applyAlignment="1" applyProtection="1">
      <alignment horizontal="left" vertical="center" wrapText="1" indent="4"/>
      <protection locked="0"/>
    </xf>
    <xf numFmtId="49" fontId="8" fillId="14" borderId="4" xfId="0" applyNumberFormat="1" applyFont="1" applyFill="1" applyBorder="1" applyAlignment="1" applyProtection="1">
      <alignment horizontal="left" vertical="center" wrapText="1"/>
      <protection locked="0"/>
    </xf>
    <xf numFmtId="4" fontId="0" fillId="14" borderId="4" xfId="0" applyNumberFormat="1" applyFont="1" applyFill="1" applyBorder="1" applyAlignment="1" applyProtection="1">
      <alignment horizontal="right" vertical="center" wrapText="1"/>
      <protection locked="0"/>
    </xf>
    <xf numFmtId="49" fontId="40" fillId="0" borderId="0" xfId="0" applyNumberFormat="1" applyFont="1">
      <alignment vertical="top"/>
    </xf>
    <xf numFmtId="49" fontId="40" fillId="0" borderId="0" xfId="0" applyNumberFormat="1" applyFont="1" applyAlignment="1">
      <alignment vertical="center" wrapText="1"/>
    </xf>
    <xf numFmtId="49" fontId="40" fillId="0" borderId="0" xfId="0" applyNumberFormat="1" applyFont="1">
      <alignment vertical="top"/>
    </xf>
    <xf numFmtId="49" fontId="40" fillId="0" borderId="0" xfId="0" applyNumberFormat="1" applyFont="1" applyAlignment="1">
      <alignment vertical="center"/>
    </xf>
    <xf numFmtId="49" fontId="8" fillId="14" borderId="4" xfId="0" applyNumberFormat="1" applyFont="1" applyFill="1" applyBorder="1" applyAlignment="1" applyProtection="1">
      <alignment horizontal="left" vertical="center" wrapText="1"/>
      <protection locked="0"/>
    </xf>
    <xf numFmtId="49" fontId="13" fillId="14" borderId="4" xfId="0" applyNumberFormat="1" applyFont="1" applyFill="1" applyBorder="1" applyAlignment="1" applyProtection="1">
      <alignment horizontal="left" vertical="center" wrapText="1"/>
      <protection locked="0"/>
    </xf>
    <xf numFmtId="49" fontId="0" fillId="0" borderId="17" xfId="0" applyNumberFormat="1" applyFont="1" applyBorder="1" applyAlignment="1">
      <alignment horizontal="center" vertical="center"/>
    </xf>
    <xf numFmtId="49" fontId="13" fillId="14" borderId="6" xfId="0" applyNumberFormat="1" applyFont="1" applyFill="1" applyBorder="1" applyAlignment="1" applyProtection="1">
      <alignment horizontal="left" vertical="center" wrapText="1"/>
      <protection locked="0"/>
    </xf>
    <xf numFmtId="0" fontId="8" fillId="9" borderId="4" xfId="0" applyNumberFormat="1" applyFont="1" applyFill="1" applyBorder="1" applyAlignment="1">
      <alignment horizontal="center" vertical="center" wrapText="1"/>
    </xf>
    <xf numFmtId="0" fontId="30" fillId="9" borderId="0" xfId="0" applyNumberFormat="1" applyFont="1" applyFill="1" applyAlignment="1">
      <alignment horizontal="center" vertical="center" wrapText="1"/>
    </xf>
    <xf numFmtId="0" fontId="8" fillId="0" borderId="15" xfId="0" applyNumberFormat="1" applyFont="1" applyBorder="1" applyAlignment="1">
      <alignment horizontal="left" vertical="center" wrapText="1"/>
    </xf>
    <xf numFmtId="0" fontId="0" fillId="0" borderId="4" xfId="0" applyNumberFormat="1" applyFont="1" applyBorder="1" applyAlignment="1">
      <alignment horizontal="left" vertical="center" wrapText="1"/>
    </xf>
    <xf numFmtId="0" fontId="8" fillId="9" borderId="0" xfId="0" applyNumberFormat="1" applyFont="1" applyFill="1" applyAlignment="1">
      <alignment horizontal="center" vertical="center" wrapText="1"/>
    </xf>
    <xf numFmtId="0" fontId="19" fillId="0" borderId="0" xfId="33" applyFont="1" applyAlignment="1">
      <alignment vertical="top" wrapText="1"/>
    </xf>
    <xf numFmtId="0" fontId="8" fillId="9" borderId="18" xfId="33" applyFont="1" applyFill="1" applyBorder="1" applyAlignment="1">
      <alignment horizontal="right" vertical="center" wrapText="1" indent="1"/>
    </xf>
    <xf numFmtId="0" fontId="0" fillId="9" borderId="18" xfId="33" applyFont="1" applyFill="1" applyBorder="1" applyAlignment="1">
      <alignment horizontal="right" vertical="center" wrapText="1" indent="1"/>
    </xf>
    <xf numFmtId="0" fontId="8" fillId="0" borderId="0" xfId="33" applyFont="1" applyAlignment="1">
      <alignment horizontal="left" vertical="center" wrapText="1" indent="4"/>
    </xf>
    <xf numFmtId="0" fontId="8" fillId="9" borderId="0" xfId="33" applyFont="1" applyFill="1" applyAlignment="1">
      <alignment horizontal="center" vertical="center" wrapText="1"/>
    </xf>
    <xf numFmtId="49" fontId="33" fillId="13" borderId="7" xfId="0" applyNumberFormat="1" applyFont="1" applyFill="1" applyBorder="1" applyAlignment="1">
      <alignment horizontal="left" vertical="center"/>
    </xf>
    <xf numFmtId="0" fontId="8" fillId="0" borderId="11" xfId="0" applyNumberFormat="1" applyFont="1" applyBorder="1" applyAlignment="1">
      <alignment vertical="center" wrapText="1"/>
    </xf>
    <xf numFmtId="0" fontId="8" fillId="0" borderId="0" xfId="0" applyNumberFormat="1" applyFont="1" applyAlignment="1">
      <alignment horizontal="left" vertical="center" wrapText="1" indent="1"/>
    </xf>
    <xf numFmtId="0" fontId="62" fillId="0" borderId="0" xfId="0" applyNumberFormat="1" applyFont="1" applyAlignment="1">
      <alignment vertical="center" wrapText="1"/>
    </xf>
    <xf numFmtId="49" fontId="0" fillId="9" borderId="6" xfId="0" applyNumberFormat="1" applyFont="1" applyFill="1" applyBorder="1" applyAlignment="1">
      <alignment horizontal="center" vertical="center" wrapText="1"/>
    </xf>
    <xf numFmtId="49" fontId="0" fillId="9" borderId="9" xfId="0" applyNumberFormat="1" applyFont="1" applyFill="1" applyBorder="1" applyAlignment="1">
      <alignment horizontal="center" vertical="center" wrapText="1"/>
    </xf>
    <xf numFmtId="0" fontId="8" fillId="13" borderId="19" xfId="0" applyNumberFormat="1" applyFont="1" applyFill="1" applyBorder="1" applyAlignment="1">
      <alignment vertical="center" wrapText="1"/>
    </xf>
    <xf numFmtId="49" fontId="33" fillId="13" borderId="20" xfId="0" applyNumberFormat="1" applyFont="1" applyFill="1" applyBorder="1" applyAlignment="1">
      <alignment horizontal="left" vertical="center" indent="1"/>
    </xf>
    <xf numFmtId="49" fontId="33" fillId="13" borderId="20" xfId="0" applyNumberFormat="1" applyFont="1" applyFill="1" applyBorder="1" applyAlignment="1">
      <alignment horizontal="left" vertical="center" indent="2"/>
    </xf>
    <xf numFmtId="49" fontId="13" fillId="6" borderId="4" xfId="0" applyNumberFormat="1" applyFont="1" applyFill="1" applyBorder="1" applyAlignment="1" applyProtection="1">
      <alignment horizontal="left" vertical="center" wrapText="1"/>
      <protection locked="0"/>
    </xf>
    <xf numFmtId="49" fontId="8" fillId="0" borderId="11" xfId="0" applyNumberFormat="1" applyFont="1" applyBorder="1">
      <alignment vertical="top"/>
    </xf>
    <xf numFmtId="49" fontId="60" fillId="13" borderId="5" xfId="0" applyNumberFormat="1" applyFont="1" applyFill="1" applyBorder="1" applyAlignment="1">
      <alignment horizontal="left" vertical="center" indent="1"/>
    </xf>
    <xf numFmtId="49" fontId="60" fillId="13" borderId="7" xfId="0" applyNumberFormat="1" applyFont="1" applyFill="1" applyBorder="1" applyAlignment="1">
      <alignment horizontal="left" vertical="center" indent="1"/>
    </xf>
    <xf numFmtId="49" fontId="19" fillId="13" borderId="6" xfId="0" applyNumberFormat="1" applyFont="1" applyFill="1" applyBorder="1" applyAlignment="1">
      <alignment horizontal="center" vertical="center"/>
    </xf>
    <xf numFmtId="49" fontId="60" fillId="13" borderId="7" xfId="0" applyNumberFormat="1" applyFont="1" applyFill="1" applyBorder="1" applyAlignment="1">
      <alignment vertical="center"/>
    </xf>
    <xf numFmtId="0" fontId="0" fillId="7" borderId="4" xfId="0" applyNumberFormat="1" applyFont="1" applyFill="1" applyBorder="1" applyAlignment="1">
      <alignment horizontal="right" vertical="center"/>
    </xf>
    <xf numFmtId="0" fontId="26" fillId="0" borderId="0" xfId="33" applyFont="1" applyAlignment="1">
      <alignment vertical="center" wrapText="1"/>
    </xf>
    <xf numFmtId="0" fontId="8" fillId="0" borderId="0" xfId="33" applyFont="1" applyAlignment="1">
      <alignment vertical="center" wrapText="1"/>
    </xf>
    <xf numFmtId="0" fontId="27" fillId="9" borderId="0" xfId="33" applyFont="1" applyFill="1" applyAlignment="1">
      <alignment vertical="center" wrapText="1"/>
    </xf>
    <xf numFmtId="0" fontId="25" fillId="0" borderId="0" xfId="33" applyFont="1" applyAlignment="1">
      <alignment horizontal="center" vertical="center" wrapText="1"/>
    </xf>
    <xf numFmtId="0" fontId="0" fillId="0" borderId="0" xfId="0" applyNumberFormat="1" applyFont="1" applyAlignment="1">
      <alignment vertical="center" wrapText="1"/>
    </xf>
    <xf numFmtId="0" fontId="25" fillId="0" borderId="0" xfId="33" applyFont="1" applyAlignment="1">
      <alignment horizontal="left" vertical="center" wrapText="1"/>
    </xf>
    <xf numFmtId="0" fontId="0" fillId="0" borderId="4" xfId="0" applyNumberFormat="1" applyFont="1" applyBorder="1" applyAlignment="1">
      <alignment horizontal="center" vertical="center" wrapText="1"/>
    </xf>
    <xf numFmtId="49" fontId="33" fillId="13" borderId="7" xfId="0" applyNumberFormat="1" applyFont="1" applyFill="1" applyBorder="1" applyAlignment="1">
      <alignment horizontal="left" vertical="center" indent="1"/>
    </xf>
    <xf numFmtId="49" fontId="33" fillId="13" borderId="7" xfId="0" applyNumberFormat="1" applyFont="1" applyFill="1" applyBorder="1" applyAlignment="1">
      <alignment horizontal="left" vertical="center"/>
    </xf>
    <xf numFmtId="0" fontId="39" fillId="0" borderId="0" xfId="0" applyNumberFormat="1" applyFont="1" applyAlignment="1">
      <alignment vertical="center" wrapText="1"/>
    </xf>
    <xf numFmtId="49" fontId="40" fillId="0" borderId="0" xfId="0" applyNumberFormat="1" applyFont="1">
      <alignment vertical="top"/>
    </xf>
    <xf numFmtId="0" fontId="64" fillId="0" borderId="0" xfId="0" applyNumberFormat="1" applyFont="1" applyAlignment="1">
      <alignment vertical="center" wrapText="1"/>
    </xf>
    <xf numFmtId="49" fontId="19" fillId="13" borderId="6" xfId="0" applyNumberFormat="1" applyFont="1" applyFill="1" applyBorder="1" applyAlignment="1">
      <alignment horizontal="right" vertical="center" wrapText="1"/>
    </xf>
    <xf numFmtId="49" fontId="39" fillId="0" borderId="0" xfId="0" applyNumberFormat="1" applyFont="1">
      <alignment vertical="top"/>
    </xf>
    <xf numFmtId="49" fontId="0" fillId="0" borderId="0" xfId="0" applyNumberFormat="1" applyFont="1">
      <alignment vertical="top"/>
    </xf>
    <xf numFmtId="49" fontId="0" fillId="13" borderId="5" xfId="0" applyNumberFormat="1" applyFont="1" applyFill="1" applyBorder="1" applyAlignment="1">
      <alignment horizontal="right" vertical="center" wrapText="1"/>
    </xf>
    <xf numFmtId="0" fontId="0" fillId="0" borderId="4" xfId="0" applyNumberFormat="1" applyFont="1" applyBorder="1" applyAlignment="1">
      <alignment horizontal="center" vertical="center" wrapText="1"/>
    </xf>
    <xf numFmtId="0" fontId="48" fillId="0" borderId="0" xfId="33" applyFont="1" applyAlignment="1">
      <alignment horizontal="left" vertical="center" wrapText="1"/>
    </xf>
    <xf numFmtId="0" fontId="49" fillId="0" borderId="0" xfId="33" applyFont="1" applyAlignment="1">
      <alignment vertical="center" wrapText="1"/>
    </xf>
    <xf numFmtId="0" fontId="50" fillId="9" borderId="0" xfId="33" applyFont="1" applyFill="1" applyAlignment="1">
      <alignment vertical="center" wrapText="1"/>
    </xf>
    <xf numFmtId="0" fontId="51" fillId="9" borderId="0" xfId="33" applyFont="1" applyFill="1" applyAlignment="1">
      <alignment horizontal="right" vertical="center" wrapText="1" indent="1"/>
    </xf>
    <xf numFmtId="0" fontId="0" fillId="0" borderId="6" xfId="0" applyNumberFormat="1" applyFont="1" applyBorder="1" applyAlignment="1">
      <alignment horizontal="center" vertical="center" wrapText="1"/>
    </xf>
    <xf numFmtId="0" fontId="0" fillId="6" borderId="4" xfId="0" applyNumberFormat="1" applyFont="1" applyFill="1" applyBorder="1" applyAlignment="1" applyProtection="1">
      <alignment horizontal="right" vertical="center" wrapText="1"/>
      <protection locked="0"/>
    </xf>
    <xf numFmtId="3" fontId="0" fillId="14" borderId="5" xfId="0" applyNumberFormat="1" applyFont="1" applyFill="1" applyBorder="1" applyAlignment="1" applyProtection="1">
      <alignment horizontal="right" vertical="center" wrapText="1"/>
      <protection locked="0"/>
    </xf>
    <xf numFmtId="3" fontId="0" fillId="14" borderId="4" xfId="0" applyNumberFormat="1" applyFont="1" applyFill="1" applyBorder="1" applyAlignment="1" applyProtection="1">
      <alignment horizontal="right" vertical="center" wrapText="1"/>
      <protection locked="0"/>
    </xf>
    <xf numFmtId="49" fontId="0" fillId="0" borderId="4" xfId="0" applyNumberFormat="1" applyFont="1" applyBorder="1" applyAlignment="1">
      <alignment horizontal="center" vertical="center" wrapText="1"/>
    </xf>
    <xf numFmtId="49" fontId="0" fillId="0" borderId="4" xfId="0" applyNumberFormat="1" applyFont="1" applyBorder="1" applyAlignment="1">
      <alignment vertical="top" wrapText="1"/>
    </xf>
    <xf numFmtId="0" fontId="0" fillId="9" borderId="6" xfId="0" applyNumberFormat="1" applyFont="1" applyFill="1" applyBorder="1" applyAlignment="1">
      <alignment horizontal="left" vertical="center" wrapText="1" indent="1"/>
    </xf>
    <xf numFmtId="0" fontId="0" fillId="9" borderId="9" xfId="0" applyNumberFormat="1" applyFont="1" applyFill="1" applyBorder="1" applyAlignment="1">
      <alignment horizontal="left" vertical="center" wrapText="1"/>
    </xf>
    <xf numFmtId="0" fontId="0" fillId="9" borderId="4" xfId="0" applyNumberFormat="1" applyFont="1" applyFill="1" applyBorder="1" applyAlignment="1">
      <alignment horizontal="left" vertical="center" wrapText="1"/>
    </xf>
    <xf numFmtId="0" fontId="0" fillId="9" borderId="4" xfId="0" applyNumberFormat="1" applyFont="1" applyFill="1" applyBorder="1" applyAlignment="1">
      <alignment horizontal="left" vertical="center" wrapText="1" indent="2"/>
    </xf>
    <xf numFmtId="0" fontId="0" fillId="9" borderId="4" xfId="34" applyFont="1" applyFill="1" applyBorder="1" applyAlignment="1">
      <alignment horizontal="center" vertical="center"/>
    </xf>
    <xf numFmtId="49" fontId="0" fillId="14" borderId="4" xfId="0" applyNumberFormat="1" applyFont="1" applyFill="1" applyBorder="1" applyAlignment="1" applyProtection="1">
      <alignment horizontal="left" vertical="center" wrapText="1"/>
      <protection locked="0"/>
    </xf>
    <xf numFmtId="0" fontId="0" fillId="9" borderId="4" xfId="0" applyNumberFormat="1" applyFont="1" applyFill="1" applyBorder="1" applyAlignment="1">
      <alignment horizontal="left" vertical="center" wrapText="1" indent="1"/>
    </xf>
    <xf numFmtId="0" fontId="0" fillId="0" borderId="4" xfId="0" applyNumberFormat="1" applyFont="1" applyBorder="1" applyAlignment="1">
      <alignment horizontal="center" vertical="center" wrapText="1"/>
    </xf>
    <xf numFmtId="0" fontId="0" fillId="9" borderId="4" xfId="0" applyNumberFormat="1" applyFont="1" applyFill="1" applyBorder="1" applyAlignment="1">
      <alignment vertical="center" wrapText="1"/>
    </xf>
    <xf numFmtId="49" fontId="0" fillId="9" borderId="4" xfId="34" applyNumberFormat="1" applyFont="1" applyFill="1" applyBorder="1" applyAlignment="1">
      <alignment horizontal="center" vertical="center"/>
    </xf>
    <xf numFmtId="0" fontId="0" fillId="9" borderId="4" xfId="0" applyNumberFormat="1" applyFont="1" applyFill="1" applyBorder="1" applyAlignment="1">
      <alignment horizontal="center" vertical="center" wrapText="1"/>
    </xf>
    <xf numFmtId="0" fontId="8" fillId="0" borderId="0" xfId="0" applyNumberFormat="1" applyFont="1" applyAlignment="1">
      <alignment vertical="center" wrapText="1"/>
    </xf>
    <xf numFmtId="49" fontId="29" fillId="9" borderId="0" xfId="0" applyNumberFormat="1" applyFont="1" applyFill="1" applyAlignment="1">
      <alignment horizontal="center" vertical="center" wrapText="1"/>
    </xf>
    <xf numFmtId="0" fontId="30" fillId="9" borderId="0" xfId="0" applyNumberFormat="1" applyFont="1" applyFill="1" applyAlignment="1">
      <alignment horizontal="center" vertical="center" wrapText="1"/>
    </xf>
    <xf numFmtId="0" fontId="30" fillId="0" borderId="0" xfId="0" applyNumberFormat="1" applyFont="1" applyAlignment="1">
      <alignment horizontal="center" vertical="center" wrapText="1"/>
    </xf>
    <xf numFmtId="0" fontId="7" fillId="0" borderId="0" xfId="0" applyNumberFormat="1" applyFont="1" applyAlignment="1">
      <alignment horizontal="center" vertical="center" wrapText="1"/>
    </xf>
    <xf numFmtId="0" fontId="38" fillId="0" borderId="0" xfId="33" applyFont="1" applyAlignment="1">
      <alignment vertical="center" wrapText="1"/>
    </xf>
    <xf numFmtId="0" fontId="8" fillId="9" borderId="0" xfId="0" applyNumberFormat="1" applyFont="1" applyFill="1" applyAlignment="1">
      <alignment vertical="center" wrapText="1"/>
    </xf>
    <xf numFmtId="0" fontId="65" fillId="9" borderId="0" xfId="0" applyNumberFormat="1" applyFont="1" applyFill="1" applyAlignment="1">
      <alignment horizontal="center"/>
    </xf>
    <xf numFmtId="0" fontId="65" fillId="9" borderId="0" xfId="0" applyNumberFormat="1" applyFont="1" applyFill="1" applyAlignment="1"/>
    <xf numFmtId="0" fontId="67" fillId="9" borderId="0" xfId="0" applyNumberFormat="1" applyFont="1" applyFill="1" applyAlignment="1">
      <alignment horizontal="right" vertical="center"/>
    </xf>
    <xf numFmtId="0" fontId="67" fillId="9" borderId="0" xfId="0" applyNumberFormat="1" applyFont="1" applyFill="1" applyAlignment="1">
      <alignment horizontal="right" vertical="top"/>
    </xf>
    <xf numFmtId="0" fontId="8" fillId="9" borderId="0" xfId="0" applyNumberFormat="1" applyFont="1" applyFill="1" applyAlignment="1">
      <alignment horizontal="center" vertical="center" wrapText="1"/>
    </xf>
    <xf numFmtId="0" fontId="29" fillId="9" borderId="0" xfId="34" applyFont="1" applyFill="1" applyAlignment="1">
      <alignment horizontal="center" vertical="center"/>
    </xf>
    <xf numFmtId="0" fontId="8" fillId="0" borderId="4" xfId="0" applyNumberFormat="1" applyFont="1" applyBorder="1" applyAlignment="1">
      <alignment horizontal="center" vertical="center" wrapText="1"/>
    </xf>
    <xf numFmtId="0" fontId="38" fillId="0" borderId="0" xfId="0" applyNumberFormat="1" applyFont="1" applyAlignment="1">
      <alignment vertical="top" wrapText="1"/>
    </xf>
    <xf numFmtId="0" fontId="8" fillId="13" borderId="6" xfId="0" applyNumberFormat="1" applyFont="1" applyFill="1" applyBorder="1" applyAlignment="1">
      <alignment horizontal="center"/>
    </xf>
    <xf numFmtId="0" fontId="60" fillId="13" borderId="7" xfId="0" applyNumberFormat="1" applyFont="1" applyFill="1" applyBorder="1" applyAlignment="1">
      <alignment horizontal="left" vertical="center"/>
    </xf>
    <xf numFmtId="0" fontId="60" fillId="13" borderId="5" xfId="0" applyNumberFormat="1" applyFont="1" applyFill="1" applyBorder="1" applyAlignment="1">
      <alignment horizontal="left" vertical="center"/>
    </xf>
    <xf numFmtId="0" fontId="68" fillId="9" borderId="0" xfId="0" applyNumberFormat="1" applyFont="1" applyFill="1" applyAlignment="1">
      <alignment vertical="center"/>
    </xf>
    <xf numFmtId="0" fontId="68" fillId="9" borderId="0" xfId="0" applyNumberFormat="1" applyFont="1" applyFill="1" applyAlignment="1">
      <alignment vertical="center" wrapText="1"/>
    </xf>
    <xf numFmtId="49" fontId="8" fillId="9" borderId="4" xfId="34" applyNumberFormat="1" applyFont="1" applyFill="1" applyBorder="1" applyAlignment="1">
      <alignment horizontal="center" vertical="center" wrapText="1"/>
    </xf>
    <xf numFmtId="0" fontId="8" fillId="9" borderId="4" xfId="0" applyNumberFormat="1" applyFont="1" applyFill="1" applyBorder="1" applyAlignment="1">
      <alignment horizontal="center" vertical="center" wrapText="1"/>
    </xf>
    <xf numFmtId="0" fontId="8" fillId="9" borderId="4" xfId="0" applyNumberFormat="1" applyFont="1" applyFill="1" applyBorder="1" applyAlignment="1">
      <alignment vertical="center" wrapText="1"/>
    </xf>
    <xf numFmtId="0" fontId="55" fillId="9" borderId="0" xfId="0" applyNumberFormat="1" applyFont="1" applyFill="1" applyAlignment="1"/>
    <xf numFmtId="0" fontId="43" fillId="9" borderId="0" xfId="0" applyNumberFormat="1" applyFont="1" applyFill="1" applyAlignment="1"/>
    <xf numFmtId="0" fontId="51" fillId="9" borderId="0" xfId="0" applyNumberFormat="1" applyFont="1" applyFill="1" applyAlignment="1">
      <alignment horizontal="center"/>
    </xf>
    <xf numFmtId="0" fontId="48" fillId="0" borderId="0" xfId="0" applyNumberFormat="1" applyFont="1" applyAlignment="1">
      <alignment vertical="center" wrapText="1"/>
    </xf>
    <xf numFmtId="0" fontId="50" fillId="0" borderId="0" xfId="0" applyNumberFormat="1" applyFont="1" applyAlignment="1">
      <alignment vertical="center" wrapText="1"/>
    </xf>
    <xf numFmtId="0" fontId="50" fillId="9" borderId="0" xfId="0" applyNumberFormat="1" applyFont="1" applyFill="1" applyAlignment="1">
      <alignment vertical="center" wrapText="1"/>
    </xf>
    <xf numFmtId="0" fontId="50" fillId="9" borderId="0" xfId="0" applyNumberFormat="1" applyFont="1" applyFill="1" applyAlignment="1">
      <alignment horizontal="right" vertical="center"/>
    </xf>
    <xf numFmtId="0" fontId="50" fillId="9" borderId="0" xfId="0" applyNumberFormat="1" applyFont="1" applyFill="1" applyAlignment="1">
      <alignment horizontal="right" vertical="center" wrapText="1"/>
    </xf>
    <xf numFmtId="4" fontId="50" fillId="0" borderId="0" xfId="0" applyNumberFormat="1" applyFont="1" applyAlignment="1">
      <alignment horizontal="right" vertical="center" wrapText="1"/>
    </xf>
    <xf numFmtId="0" fontId="50" fillId="0" borderId="0" xfId="0" applyNumberFormat="1" applyFont="1" applyAlignment="1">
      <alignment horizontal="left" vertical="center" wrapText="1" indent="1"/>
    </xf>
    <xf numFmtId="0" fontId="69" fillId="9" borderId="0" xfId="0" applyNumberFormat="1" applyFont="1" applyFill="1" applyAlignment="1">
      <alignment horizontal="center" vertical="center" wrapText="1"/>
    </xf>
    <xf numFmtId="0" fontId="29" fillId="9" borderId="0" xfId="0" applyNumberFormat="1" applyFont="1" applyFill="1" applyAlignment="1">
      <alignment horizontal="center" vertical="center" wrapText="1"/>
    </xf>
    <xf numFmtId="0" fontId="54" fillId="0" borderId="0" xfId="0" applyNumberFormat="1" applyFont="1" applyAlignment="1">
      <alignment vertical="center" wrapText="1"/>
    </xf>
    <xf numFmtId="0" fontId="40" fillId="0" borderId="0" xfId="0" applyNumberFormat="1" applyFont="1" applyAlignment="1">
      <alignment vertical="center" wrapText="1"/>
    </xf>
    <xf numFmtId="49" fontId="8" fillId="15" borderId="4" xfId="0" applyNumberFormat="1" applyFont="1" applyFill="1" applyBorder="1" applyAlignment="1">
      <alignment horizontal="left" vertical="center" wrapText="1"/>
    </xf>
    <xf numFmtId="0" fontId="54" fillId="0" borderId="0" xfId="0" applyNumberFormat="1" applyFont="1" applyAlignment="1">
      <alignment horizontal="center" vertical="center" wrapText="1"/>
    </xf>
    <xf numFmtId="0" fontId="8" fillId="9" borderId="16" xfId="0" applyNumberFormat="1" applyFont="1" applyFill="1" applyBorder="1" applyAlignment="1">
      <alignment vertical="center" wrapText="1"/>
    </xf>
    <xf numFmtId="49" fontId="29" fillId="9" borderId="7" xfId="0" applyNumberFormat="1" applyFont="1" applyFill="1" applyBorder="1" applyAlignment="1">
      <alignment horizontal="center" vertical="center" wrapText="1"/>
    </xf>
    <xf numFmtId="0" fontId="40" fillId="0" borderId="0" xfId="0" applyNumberFormat="1" applyFont="1" applyAlignment="1">
      <alignment horizontal="center" vertical="center" wrapText="1"/>
    </xf>
    <xf numFmtId="0" fontId="69" fillId="0" borderId="0" xfId="0" applyNumberFormat="1" applyFont="1" applyAlignment="1">
      <alignment horizontal="center" vertical="center" wrapText="1"/>
    </xf>
    <xf numFmtId="0" fontId="63" fillId="0" borderId="0" xfId="0" applyNumberFormat="1" applyFont="1" applyAlignment="1">
      <alignment vertical="center" wrapText="1"/>
    </xf>
    <xf numFmtId="49" fontId="63" fillId="0" borderId="4" xfId="0" applyNumberFormat="1" applyFont="1" applyBorder="1" applyAlignment="1">
      <alignment horizontal="left" vertical="center" wrapText="1"/>
    </xf>
    <xf numFmtId="0" fontId="70" fillId="9" borderId="0" xfId="0" applyNumberFormat="1" applyFont="1" applyFill="1" applyAlignment="1">
      <alignment horizontal="center" vertical="center" wrapText="1"/>
    </xf>
    <xf numFmtId="49" fontId="63" fillId="0" borderId="9" xfId="0" applyNumberFormat="1" applyFont="1" applyBorder="1" applyAlignment="1">
      <alignment horizontal="left" vertical="center" wrapText="1"/>
    </xf>
    <xf numFmtId="0" fontId="40" fillId="0" borderId="0" xfId="0" applyNumberFormat="1" applyFont="1" applyAlignment="1">
      <alignment vertical="center"/>
    </xf>
    <xf numFmtId="0" fontId="40" fillId="9" borderId="0" xfId="0" applyNumberFormat="1" applyFont="1" applyFill="1" applyAlignment="1"/>
    <xf numFmtId="0" fontId="40" fillId="9" borderId="0" xfId="0" applyNumberFormat="1" applyFont="1" applyFill="1" applyAlignment="1">
      <alignment vertical="center" wrapText="1"/>
    </xf>
    <xf numFmtId="0" fontId="40" fillId="0" borderId="0" xfId="33" applyFont="1" applyAlignment="1">
      <alignment vertical="center" wrapText="1"/>
    </xf>
    <xf numFmtId="49" fontId="8" fillId="0" borderId="0" xfId="0" applyNumberFormat="1" applyFont="1">
      <alignment vertical="top"/>
    </xf>
    <xf numFmtId="0" fontId="8" fillId="0" borderId="0" xfId="0" applyNumberFormat="1" applyFont="1" applyAlignment="1">
      <alignment vertical="center" wrapText="1"/>
    </xf>
    <xf numFmtId="0" fontId="30" fillId="9" borderId="0" xfId="0" applyNumberFormat="1" applyFont="1" applyFill="1" applyAlignment="1">
      <alignment horizontal="center" vertical="center" wrapText="1"/>
    </xf>
    <xf numFmtId="0" fontId="35" fillId="0" borderId="0" xfId="0" applyNumberFormat="1" applyFont="1" applyAlignment="1">
      <alignment vertical="center" wrapText="1"/>
    </xf>
    <xf numFmtId="49" fontId="8" fillId="0" borderId="4" xfId="0" applyNumberFormat="1" applyFont="1" applyBorder="1" applyAlignment="1">
      <alignment horizontal="left" vertical="center" wrapText="1"/>
    </xf>
    <xf numFmtId="0" fontId="8" fillId="0" borderId="0" xfId="0" applyNumberFormat="1" applyFont="1" applyAlignment="1">
      <alignment vertical="center" wrapText="1"/>
    </xf>
    <xf numFmtId="49" fontId="40" fillId="0" borderId="0" xfId="0" applyNumberFormat="1" applyFont="1" applyAlignment="1">
      <alignment vertical="center" wrapText="1"/>
    </xf>
    <xf numFmtId="0" fontId="40" fillId="0" borderId="0" xfId="0" applyNumberFormat="1" applyFont="1" applyAlignment="1">
      <alignment vertical="center" wrapText="1"/>
    </xf>
    <xf numFmtId="0" fontId="8" fillId="0" borderId="4" xfId="0" applyNumberFormat="1" applyFont="1" applyBorder="1" applyAlignment="1">
      <alignment horizontal="center" vertical="center" wrapText="1"/>
    </xf>
    <xf numFmtId="14" fontId="8" fillId="13" borderId="7" xfId="0" applyNumberFormat="1" applyFont="1" applyFill="1" applyBorder="1" applyAlignment="1">
      <alignment horizontal="center" vertical="center" wrapText="1"/>
    </xf>
    <xf numFmtId="49" fontId="8" fillId="13" borderId="7" xfId="0" applyNumberFormat="1" applyFont="1" applyFill="1" applyBorder="1" applyAlignment="1">
      <alignment horizontal="center" vertical="center" wrapText="1"/>
    </xf>
    <xf numFmtId="14" fontId="71" fillId="13" borderId="7" xfId="0" applyNumberFormat="1" applyFont="1" applyFill="1" applyBorder="1" applyAlignment="1">
      <alignment horizontal="center" vertical="center" wrapText="1"/>
    </xf>
    <xf numFmtId="0" fontId="40" fillId="0" borderId="0" xfId="0" applyNumberFormat="1" applyFont="1" applyAlignment="1">
      <alignment horizontal="left" vertical="center" wrapText="1"/>
    </xf>
    <xf numFmtId="49" fontId="40" fillId="0" borderId="0" xfId="0" applyNumberFormat="1" applyFont="1" applyAlignment="1">
      <alignment horizontal="left" vertical="center" wrapText="1"/>
    </xf>
    <xf numFmtId="0" fontId="40" fillId="0" borderId="0" xfId="0" applyNumberFormat="1" applyFont="1" applyAlignment="1">
      <alignment vertical="center" wrapText="1"/>
    </xf>
    <xf numFmtId="49" fontId="13" fillId="0" borderId="4" xfId="0" applyNumberFormat="1" applyFont="1" applyBorder="1" applyAlignment="1">
      <alignment horizontal="left" vertical="center" wrapText="1"/>
    </xf>
    <xf numFmtId="14" fontId="8" fillId="15" borderId="4" xfId="0" applyNumberFormat="1" applyFont="1" applyFill="1" applyBorder="1" applyAlignment="1">
      <alignment horizontal="center" vertical="center" wrapText="1"/>
    </xf>
    <xf numFmtId="0" fontId="8" fillId="0" borderId="4" xfId="0" applyNumberFormat="1" applyFont="1" applyBorder="1" applyAlignment="1">
      <alignment horizontal="center" vertical="center" wrapText="1"/>
    </xf>
    <xf numFmtId="0" fontId="8" fillId="0" borderId="0" xfId="0" applyNumberFormat="1" applyFont="1" applyAlignment="1">
      <alignment horizontal="center" vertical="center" wrapText="1"/>
    </xf>
    <xf numFmtId="0" fontId="8" fillId="0" borderId="4" xfId="0" applyNumberFormat="1" applyFont="1" applyBorder="1" applyAlignment="1">
      <alignment horizontal="center" vertical="center" wrapText="1"/>
    </xf>
    <xf numFmtId="49" fontId="8" fillId="15" borderId="4" xfId="0" applyNumberFormat="1" applyFont="1" applyFill="1" applyBorder="1" applyAlignment="1">
      <alignment horizontal="center" vertical="center" wrapText="1"/>
    </xf>
    <xf numFmtId="0" fontId="72"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9" fontId="8" fillId="0" borderId="4" xfId="0" applyNumberFormat="1" applyFont="1" applyBorder="1" applyAlignment="1">
      <alignment horizontal="center" vertical="center" wrapText="1"/>
    </xf>
    <xf numFmtId="0" fontId="0" fillId="9" borderId="6" xfId="0" applyNumberFormat="1" applyFont="1" applyFill="1" applyBorder="1" applyAlignment="1">
      <alignment horizontal="left" vertical="center" wrapText="1"/>
    </xf>
    <xf numFmtId="49" fontId="19" fillId="13" borderId="7" xfId="0" applyNumberFormat="1" applyFont="1" applyFill="1" applyBorder="1" applyAlignment="1">
      <alignment horizontal="center" vertical="center"/>
    </xf>
    <xf numFmtId="0" fontId="26" fillId="0" borderId="0" xfId="33" applyFont="1" applyAlignment="1">
      <alignment vertical="center" wrapText="1"/>
    </xf>
    <xf numFmtId="0" fontId="25" fillId="0" borderId="0" xfId="33" applyFont="1" applyAlignment="1">
      <alignment horizontal="center" vertical="center" wrapText="1"/>
    </xf>
    <xf numFmtId="0" fontId="8" fillId="0" borderId="0" xfId="33" applyFont="1" applyAlignment="1">
      <alignment horizontal="center" vertical="center" wrapText="1"/>
    </xf>
    <xf numFmtId="0" fontId="39" fillId="0" borderId="0" xfId="33" applyFont="1" applyAlignment="1">
      <alignment horizontal="center" vertical="center" wrapText="1"/>
    </xf>
    <xf numFmtId="0" fontId="73" fillId="0" borderId="0" xfId="33" applyFont="1" applyAlignment="1">
      <alignment vertical="center" wrapText="1"/>
    </xf>
    <xf numFmtId="49" fontId="39" fillId="0" borderId="0" xfId="0" applyNumberFormat="1" applyFont="1" applyAlignment="1">
      <alignment horizontal="center" vertical="center" wrapText="1"/>
    </xf>
    <xf numFmtId="0" fontId="39" fillId="0" borderId="0" xfId="0" applyNumberFormat="1" applyFont="1" applyAlignment="1">
      <alignment vertical="center" wrapText="1"/>
    </xf>
    <xf numFmtId="49" fontId="8" fillId="0" borderId="0" xfId="0" applyNumberFormat="1" applyFont="1" applyAlignment="1">
      <alignment horizontal="center" vertical="top" wrapText="1"/>
    </xf>
    <xf numFmtId="49" fontId="8" fillId="0" borderId="4" xfId="0" applyNumberFormat="1" applyFont="1" applyBorder="1" applyAlignment="1">
      <alignment horizontal="center" vertical="center" wrapText="1"/>
    </xf>
    <xf numFmtId="49" fontId="8" fillId="14" borderId="4" xfId="0" applyNumberFormat="1" applyFont="1" applyFill="1" applyBorder="1" applyAlignment="1" applyProtection="1">
      <alignment vertical="center" wrapText="1"/>
      <protection locked="0"/>
    </xf>
    <xf numFmtId="4" fontId="8" fillId="6" borderId="4" xfId="0" applyNumberFormat="1" applyFont="1" applyFill="1" applyBorder="1" applyAlignment="1" applyProtection="1">
      <alignment horizontal="right" vertical="center" wrapText="1"/>
      <protection locked="0"/>
    </xf>
    <xf numFmtId="0" fontId="8" fillId="0" borderId="5" xfId="0" applyNumberFormat="1" applyFont="1" applyBorder="1" applyAlignment="1">
      <alignment vertical="top" wrapText="1"/>
    </xf>
    <xf numFmtId="0" fontId="74" fillId="0" borderId="0" xfId="0" applyNumberFormat="1" applyFont="1" applyAlignment="1">
      <alignment vertical="center" wrapText="1"/>
    </xf>
    <xf numFmtId="0" fontId="44" fillId="0" borderId="0" xfId="0" applyNumberFormat="1" applyFont="1" applyAlignment="1">
      <alignment vertical="center" wrapText="1"/>
    </xf>
    <xf numFmtId="169" fontId="8" fillId="6" borderId="4" xfId="0" applyNumberFormat="1" applyFont="1" applyFill="1" applyBorder="1" applyAlignment="1" applyProtection="1">
      <alignment horizontal="right" vertical="center" wrapText="1"/>
      <protection locked="0"/>
    </xf>
    <xf numFmtId="0" fontId="8" fillId="0" borderId="21" xfId="0" applyNumberFormat="1" applyFont="1" applyBorder="1" applyAlignment="1">
      <alignment horizontal="center" vertical="center" wrapText="1"/>
    </xf>
    <xf numFmtId="0" fontId="8" fillId="14" borderId="4" xfId="0" applyNumberFormat="1" applyFont="1" applyFill="1" applyBorder="1" applyAlignment="1" applyProtection="1">
      <alignment horizontal="left" vertical="center" wrapText="1" indent="2"/>
      <protection locked="0"/>
    </xf>
    <xf numFmtId="49" fontId="40" fillId="0" borderId="0" xfId="0" applyNumberFormat="1" applyFont="1" applyAlignment="1">
      <alignment horizontal="center" vertical="center" wrapText="1"/>
    </xf>
    <xf numFmtId="0" fontId="40" fillId="0" borderId="21" xfId="0" applyNumberFormat="1" applyFont="1" applyBorder="1" applyAlignment="1">
      <alignment horizontal="center" vertical="center" wrapText="1"/>
    </xf>
    <xf numFmtId="0" fontId="40" fillId="0" borderId="4" xfId="0" applyNumberFormat="1" applyFont="1" applyBorder="1" applyAlignment="1">
      <alignment horizontal="left" vertical="center" wrapText="1" indent="2"/>
    </xf>
    <xf numFmtId="0" fontId="40" fillId="0" borderId="4" xfId="0" applyNumberFormat="1" applyFont="1" applyBorder="1" applyAlignment="1">
      <alignment horizontal="center" vertical="center" wrapText="1"/>
    </xf>
    <xf numFmtId="0" fontId="40" fillId="0" borderId="4" xfId="0" applyNumberFormat="1" applyFont="1" applyBorder="1" applyAlignment="1">
      <alignment vertical="center" wrapText="1"/>
    </xf>
    <xf numFmtId="0" fontId="8" fillId="0" borderId="4" xfId="0" applyNumberFormat="1" applyFont="1" applyBorder="1" applyAlignment="1">
      <alignment horizontal="left" vertical="center" wrapText="1" indent="3"/>
    </xf>
    <xf numFmtId="49" fontId="8" fillId="14" borderId="4" xfId="0" applyNumberFormat="1" applyFont="1" applyFill="1" applyBorder="1" applyAlignment="1" applyProtection="1">
      <alignment horizontal="center" vertical="center" wrapText="1"/>
      <protection locked="0"/>
    </xf>
    <xf numFmtId="0" fontId="8" fillId="6" borderId="4" xfId="0" applyNumberFormat="1" applyFont="1" applyFill="1" applyBorder="1" applyAlignment="1" applyProtection="1">
      <alignment horizontal="left" vertical="center" wrapText="1"/>
      <protection locked="0"/>
    </xf>
    <xf numFmtId="0" fontId="7" fillId="0" borderId="0" xfId="0" applyNumberFormat="1" applyFont="1" applyAlignment="1">
      <alignment vertical="center" wrapText="1"/>
    </xf>
    <xf numFmtId="4" fontId="8" fillId="14" borderId="4" xfId="0" applyNumberFormat="1" applyFont="1" applyFill="1" applyBorder="1" applyAlignment="1" applyProtection="1">
      <alignment horizontal="right" vertical="center" wrapText="1"/>
      <protection locked="0"/>
    </xf>
    <xf numFmtId="4" fontId="8" fillId="11" borderId="4" xfId="0" applyNumberFormat="1" applyFont="1" applyFill="1" applyBorder="1" applyAlignment="1">
      <alignment horizontal="right" vertical="center" wrapText="1"/>
    </xf>
    <xf numFmtId="0" fontId="8" fillId="0" borderId="4" xfId="0" applyNumberFormat="1" applyFont="1" applyBorder="1" applyAlignment="1">
      <alignment horizontal="left" vertical="center" wrapText="1" indent="1"/>
    </xf>
    <xf numFmtId="49" fontId="63" fillId="0" borderId="0" xfId="0" applyNumberFormat="1" applyFont="1" applyAlignment="1">
      <alignment horizontal="center" vertical="center" wrapText="1"/>
    </xf>
    <xf numFmtId="49" fontId="63" fillId="0" borderId="21" xfId="0" applyNumberFormat="1" applyFont="1" applyBorder="1" applyAlignment="1">
      <alignment horizontal="center" vertical="center" wrapText="1"/>
    </xf>
    <xf numFmtId="0" fontId="63" fillId="0" borderId="4" xfId="0" applyNumberFormat="1" applyFont="1" applyBorder="1" applyAlignment="1">
      <alignment horizontal="left" vertical="center" wrapText="1" indent="2"/>
    </xf>
    <xf numFmtId="0" fontId="63" fillId="0" borderId="4" xfId="0" applyNumberFormat="1" applyFont="1" applyBorder="1" applyAlignment="1">
      <alignment horizontal="center" vertical="center" wrapText="1"/>
    </xf>
    <xf numFmtId="0" fontId="63" fillId="0" borderId="4" xfId="0" applyNumberFormat="1" applyFont="1" applyBorder="1" applyAlignment="1">
      <alignment vertical="center" wrapText="1"/>
    </xf>
    <xf numFmtId="0" fontId="75" fillId="0" borderId="0" xfId="0" applyNumberFormat="1" applyFont="1" applyAlignment="1">
      <alignment vertical="center" wrapText="1"/>
    </xf>
    <xf numFmtId="0" fontId="53" fillId="0" borderId="0" xfId="0" applyNumberFormat="1" applyFont="1" applyAlignment="1">
      <alignment vertical="center" wrapText="1"/>
    </xf>
    <xf numFmtId="0" fontId="63" fillId="0" borderId="21" xfId="0" applyNumberFormat="1" applyFont="1" applyBorder="1" applyAlignment="1">
      <alignment horizontal="center" vertical="center" wrapText="1"/>
    </xf>
    <xf numFmtId="0" fontId="63" fillId="0" borderId="4" xfId="0" applyNumberFormat="1" applyFont="1" applyBorder="1" applyAlignment="1">
      <alignment horizontal="left" vertical="center" wrapText="1" indent="3"/>
    </xf>
    <xf numFmtId="4" fontId="63" fillId="0" borderId="4" xfId="0" applyNumberFormat="1" applyFont="1" applyBorder="1" applyAlignment="1">
      <alignment horizontal="right" vertical="center" wrapText="1"/>
    </xf>
    <xf numFmtId="49" fontId="8" fillId="13" borderId="6" xfId="0" applyNumberFormat="1" applyFont="1" applyFill="1" applyBorder="1" applyAlignment="1">
      <alignment vertical="center" wrapText="1"/>
    </xf>
    <xf numFmtId="49" fontId="33" fillId="13" borderId="7" xfId="0" applyNumberFormat="1" applyFont="1" applyFill="1" applyBorder="1" applyAlignment="1">
      <alignment horizontal="left" vertical="center" indent="2"/>
    </xf>
    <xf numFmtId="0" fontId="8" fillId="13" borderId="7" xfId="0" applyNumberFormat="1" applyFont="1" applyFill="1" applyBorder="1" applyAlignment="1">
      <alignment vertical="center" wrapText="1"/>
    </xf>
    <xf numFmtId="0" fontId="39" fillId="13" borderId="5" xfId="0" applyNumberFormat="1" applyFont="1" applyFill="1" applyBorder="1" applyAlignment="1">
      <alignment vertical="center" wrapText="1"/>
    </xf>
    <xf numFmtId="14" fontId="8" fillId="0" borderId="0" xfId="0" applyNumberFormat="1" applyFont="1" applyAlignment="1">
      <alignment horizontal="center" vertical="center" wrapText="1"/>
    </xf>
    <xf numFmtId="49" fontId="19" fillId="0" borderId="0" xfId="0" applyNumberFormat="1" applyFont="1" applyAlignment="1">
      <alignment horizontal="center" vertical="center"/>
    </xf>
    <xf numFmtId="0" fontId="8" fillId="0" borderId="4" xfId="0" applyNumberFormat="1" applyFont="1" applyBorder="1" applyAlignment="1">
      <alignment horizontal="left" vertical="center" wrapText="1" indent="2"/>
    </xf>
    <xf numFmtId="169" fontId="8" fillId="14" borderId="4" xfId="0" applyNumberFormat="1" applyFont="1" applyFill="1" applyBorder="1" applyAlignment="1" applyProtection="1">
      <alignment horizontal="right" vertical="center" wrapText="1"/>
      <protection locked="0"/>
    </xf>
    <xf numFmtId="0" fontId="8" fillId="0" borderId="9" xfId="0" applyNumberFormat="1" applyFont="1" applyBorder="1" applyAlignment="1">
      <alignment horizontal="center" vertical="center" wrapText="1"/>
    </xf>
    <xf numFmtId="4" fontId="8" fillId="11" borderId="9" xfId="0" applyNumberFormat="1" applyFont="1" applyFill="1" applyBorder="1" applyAlignment="1">
      <alignment horizontal="right" vertical="center" wrapText="1"/>
    </xf>
    <xf numFmtId="49" fontId="33" fillId="13" borderId="7" xfId="0" applyNumberFormat="1" applyFont="1" applyFill="1" applyBorder="1" applyAlignment="1">
      <alignment horizontal="left" vertical="center" indent="1"/>
    </xf>
    <xf numFmtId="0" fontId="8" fillId="0" borderId="0" xfId="0" applyNumberFormat="1" applyFont="1" applyAlignment="1">
      <alignment horizontal="left" vertical="center" wrapText="1"/>
    </xf>
    <xf numFmtId="0" fontId="8" fillId="0" borderId="0" xfId="0" applyNumberFormat="1" applyFont="1" applyAlignment="1">
      <alignment vertical="center"/>
    </xf>
    <xf numFmtId="0" fontId="39" fillId="0" borderId="0" xfId="0" applyNumberFormat="1" applyFont="1" applyAlignment="1">
      <alignment vertical="center"/>
    </xf>
    <xf numFmtId="0" fontId="8" fillId="0" borderId="0" xfId="0" applyNumberFormat="1" applyFont="1" applyAlignment="1">
      <alignment vertical="center"/>
    </xf>
    <xf numFmtId="0" fontId="76" fillId="0" borderId="0" xfId="0" applyNumberFormat="1" applyFont="1" applyAlignment="1">
      <alignment vertical="center"/>
    </xf>
    <xf numFmtId="0" fontId="8" fillId="0" borderId="0" xfId="0" applyNumberFormat="1" applyFont="1" applyAlignment="1">
      <alignment vertical="center" wrapText="1"/>
    </xf>
    <xf numFmtId="0" fontId="34" fillId="0" borderId="0" xfId="0" applyNumberFormat="1" applyFont="1" applyAlignment="1">
      <alignment vertical="center"/>
    </xf>
    <xf numFmtId="0" fontId="76" fillId="0" borderId="0" xfId="0" applyNumberFormat="1" applyFont="1" applyAlignment="1">
      <alignment vertical="center"/>
    </xf>
    <xf numFmtId="0" fontId="20" fillId="0" borderId="0" xfId="0" applyNumberFormat="1" applyFont="1" applyAlignment="1">
      <alignment vertical="center"/>
    </xf>
    <xf numFmtId="0" fontId="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9" fillId="0" borderId="4" xfId="0" applyNumberFormat="1" applyFont="1" applyBorder="1" applyAlignment="1">
      <alignment horizontal="center" vertical="center" wrapText="1"/>
    </xf>
    <xf numFmtId="0" fontId="39" fillId="0" borderId="0" xfId="0" applyNumberFormat="1" applyFont="1" applyAlignment="1">
      <alignment vertical="center"/>
    </xf>
    <xf numFmtId="0" fontId="40" fillId="0" borderId="0" xfId="0" applyNumberFormat="1" applyFont="1" applyAlignment="1">
      <alignment horizontal="center" vertical="center"/>
    </xf>
    <xf numFmtId="0" fontId="8" fillId="0" borderId="0" xfId="0" applyNumberFormat="1" applyFont="1" applyAlignment="1">
      <alignment horizontal="center" vertical="center" wrapText="1"/>
    </xf>
    <xf numFmtId="0" fontId="8" fillId="13" borderId="6" xfId="0" applyNumberFormat="1" applyFont="1" applyFill="1" applyBorder="1" applyAlignment="1">
      <alignment horizontal="center" vertical="center" wrapText="1"/>
    </xf>
    <xf numFmtId="49" fontId="8" fillId="13" borderId="7" xfId="0" applyNumberFormat="1" applyFont="1" applyFill="1" applyBorder="1" applyAlignment="1">
      <alignment horizontal="center" vertical="center" wrapText="1"/>
    </xf>
    <xf numFmtId="0" fontId="0" fillId="13" borderId="5" xfId="0" applyNumberFormat="1" applyFont="1" applyFill="1" applyBorder="1" applyAlignment="1">
      <alignment vertical="center"/>
    </xf>
    <xf numFmtId="49" fontId="8" fillId="0" borderId="9" xfId="0" applyNumberFormat="1" applyFont="1" applyBorder="1" applyAlignment="1">
      <alignment horizontal="center" vertical="center" wrapText="1"/>
    </xf>
    <xf numFmtId="49" fontId="65" fillId="0" borderId="4" xfId="0" applyNumberFormat="1" applyFont="1" applyBorder="1" applyAlignment="1">
      <alignment horizontal="left" vertical="center" wrapText="1" indent="1"/>
    </xf>
    <xf numFmtId="0" fontId="39" fillId="0" borderId="0" xfId="0" applyNumberFormat="1" applyFont="1" applyAlignment="1">
      <alignment vertical="center"/>
    </xf>
    <xf numFmtId="49" fontId="33" fillId="13" borderId="5" xfId="0" applyNumberFormat="1" applyFont="1" applyFill="1" applyBorder="1" applyAlignment="1">
      <alignment horizontal="left" vertical="center" indent="1"/>
    </xf>
    <xf numFmtId="49" fontId="19" fillId="13" borderId="5" xfId="0" applyNumberFormat="1" applyFont="1" applyFill="1" applyBorder="1" applyAlignment="1">
      <alignment horizontal="right" vertical="center" wrapText="1"/>
    </xf>
    <xf numFmtId="0" fontId="65" fillId="16" borderId="0" xfId="0" applyNumberFormat="1" applyFont="1" applyFill="1">
      <alignment vertical="top"/>
    </xf>
    <xf numFmtId="49" fontId="25" fillId="0" borderId="0" xfId="0" applyNumberFormat="1" applyFont="1" applyAlignment="1">
      <alignment horizontal="center" vertical="center" wrapText="1"/>
    </xf>
    <xf numFmtId="0" fontId="40" fillId="0" borderId="0" xfId="0" applyNumberFormat="1" applyFont="1" applyAlignment="1">
      <alignment vertical="center" wrapText="1"/>
    </xf>
    <xf numFmtId="0" fontId="25" fillId="0" borderId="0" xfId="0" applyNumberFormat="1" applyFont="1" applyAlignment="1">
      <alignment vertical="center" wrapText="1"/>
    </xf>
    <xf numFmtId="0" fontId="8"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49" fontId="25" fillId="0" borderId="0" xfId="0" applyNumberFormat="1" applyFont="1" applyAlignment="1">
      <alignment horizontal="center" vertical="center" wrapText="1"/>
    </xf>
    <xf numFmtId="4" fontId="8" fillId="0" borderId="0" xfId="0" applyNumberFormat="1" applyFont="1" applyAlignment="1">
      <alignment horizontal="right" vertical="center" wrapText="1"/>
    </xf>
    <xf numFmtId="9" fontId="19" fillId="0" borderId="0" xfId="0" applyNumberFormat="1" applyFont="1" applyAlignment="1">
      <alignment horizontal="center" vertical="center" wrapText="1"/>
    </xf>
    <xf numFmtId="0" fontId="62" fillId="0" borderId="0" xfId="0" applyNumberFormat="1" applyFont="1" applyAlignment="1">
      <alignment vertical="center" wrapText="1"/>
    </xf>
    <xf numFmtId="0" fontId="40" fillId="0" borderId="0" xfId="0" applyNumberFormat="1" applyFont="1" applyAlignment="1">
      <alignment vertical="center" wrapText="1"/>
    </xf>
    <xf numFmtId="0" fontId="25" fillId="0" borderId="0" xfId="0" applyNumberFormat="1" applyFont="1" applyAlignment="1">
      <alignment vertical="center" wrapText="1"/>
    </xf>
    <xf numFmtId="49" fontId="53" fillId="0" borderId="0" xfId="0" applyNumberFormat="1" applyFont="1" applyAlignment="1">
      <alignment horizontal="center" vertical="center" wrapText="1"/>
    </xf>
    <xf numFmtId="0" fontId="53"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40" fillId="0" borderId="0" xfId="0" applyNumberFormat="1" applyFont="1">
      <alignment vertical="top"/>
    </xf>
    <xf numFmtId="49" fontId="39" fillId="0" borderId="0" xfId="0" applyNumberFormat="1" applyFont="1">
      <alignment vertical="top"/>
    </xf>
    <xf numFmtId="49" fontId="40" fillId="0" borderId="0" xfId="0" applyNumberFormat="1" applyFont="1">
      <alignment vertical="top"/>
    </xf>
    <xf numFmtId="49" fontId="39" fillId="0" borderId="0" xfId="0" applyNumberFormat="1" applyFont="1">
      <alignment vertical="top"/>
    </xf>
    <xf numFmtId="49" fontId="39" fillId="0" borderId="0" xfId="0" applyNumberFormat="1" applyFont="1">
      <alignment vertical="top"/>
    </xf>
    <xf numFmtId="0" fontId="39" fillId="0" borderId="0" xfId="0" applyNumberFormat="1" applyFont="1">
      <alignment vertical="top"/>
    </xf>
    <xf numFmtId="0" fontId="64" fillId="0" borderId="0" xfId="0" applyNumberFormat="1" applyFont="1">
      <alignment vertical="top"/>
    </xf>
    <xf numFmtId="0" fontId="77" fillId="0" borderId="0" xfId="0" applyNumberFormat="1" applyFont="1">
      <alignment vertical="top"/>
    </xf>
    <xf numFmtId="0" fontId="39" fillId="0" borderId="0" xfId="0" applyNumberFormat="1" applyFont="1" applyAlignment="1">
      <alignment horizontal="center" vertical="center" wrapText="1"/>
    </xf>
    <xf numFmtId="0" fontId="40" fillId="0" borderId="0" xfId="0" applyNumberFormat="1" applyFont="1" applyAlignment="1">
      <alignment horizontal="center" vertical="center" wrapText="1"/>
    </xf>
    <xf numFmtId="0" fontId="40" fillId="0" borderId="4" xfId="0" applyNumberFormat="1" applyFont="1" applyBorder="1" applyAlignment="1">
      <alignment horizontal="left" vertical="center" wrapText="1"/>
    </xf>
    <xf numFmtId="0" fontId="40" fillId="0" borderId="4" xfId="0" applyNumberFormat="1" applyFont="1" applyBorder="1" applyAlignment="1">
      <alignment vertical="center" wrapText="1"/>
    </xf>
    <xf numFmtId="49" fontId="0" fillId="0" borderId="4" xfId="0" applyNumberFormat="1" applyFont="1" applyBorder="1" applyAlignment="1">
      <alignment horizontal="center" vertical="center"/>
    </xf>
    <xf numFmtId="4" fontId="0" fillId="11" borderId="4" xfId="0" applyNumberFormat="1" applyFont="1" applyFill="1" applyBorder="1" applyAlignment="1">
      <alignment horizontal="right" vertical="center" wrapText="1"/>
    </xf>
    <xf numFmtId="49" fontId="0" fillId="0" borderId="22" xfId="0" applyNumberFormat="1" applyFont="1" applyBorder="1" applyAlignment="1">
      <alignment horizontal="center" vertical="center" wrapText="1"/>
    </xf>
    <xf numFmtId="49" fontId="0" fillId="14" borderId="4" xfId="0" applyNumberFormat="1" applyFont="1" applyFill="1" applyBorder="1" applyAlignment="1" applyProtection="1">
      <alignment horizontal="center" vertical="center" wrapText="1"/>
      <protection locked="0"/>
    </xf>
    <xf numFmtId="4" fontId="39" fillId="0" borderId="4" xfId="0" applyNumberFormat="1" applyFont="1" applyBorder="1" applyAlignment="1">
      <alignment horizontal="right" vertical="center" wrapText="1"/>
    </xf>
    <xf numFmtId="49" fontId="0" fillId="13" borderId="19" xfId="0" applyNumberFormat="1" applyFont="1" applyFill="1" applyBorder="1" applyAlignment="1">
      <alignment horizontal="center" vertical="center"/>
    </xf>
    <xf numFmtId="49" fontId="33" fillId="13" borderId="7" xfId="0" applyNumberFormat="1" applyFont="1" applyFill="1" applyBorder="1" applyAlignment="1">
      <alignment horizontal="left" vertical="center"/>
    </xf>
    <xf numFmtId="49" fontId="33" fillId="13" borderId="6" xfId="0" applyNumberFormat="1" applyFont="1" applyFill="1" applyBorder="1" applyAlignment="1">
      <alignment horizontal="left" vertical="center"/>
    </xf>
    <xf numFmtId="49" fontId="33" fillId="13" borderId="7" xfId="0" applyNumberFormat="1" applyFont="1" applyFill="1" applyBorder="1" applyAlignment="1">
      <alignment horizontal="left" vertical="center" indent="1"/>
    </xf>
    <xf numFmtId="49" fontId="33" fillId="13" borderId="7" xfId="0" applyNumberFormat="1" applyFont="1" applyFill="1" applyBorder="1" applyAlignment="1">
      <alignment horizontal="left" vertical="center"/>
    </xf>
    <xf numFmtId="49" fontId="33" fillId="13" borderId="5" xfId="0" applyNumberFormat="1" applyFont="1" applyFill="1" applyBorder="1" applyAlignment="1">
      <alignment horizontal="left" vertical="center" indent="1"/>
    </xf>
    <xf numFmtId="0" fontId="8" fillId="0" borderId="0" xfId="0" applyNumberFormat="1" applyFont="1" applyAlignment="1">
      <alignment horizontal="right" vertical="center" wrapText="1"/>
    </xf>
    <xf numFmtId="0" fontId="0" fillId="0" borderId="0" xfId="0" applyNumberFormat="1" applyFont="1" applyAlignment="1">
      <alignment vertical="center"/>
    </xf>
    <xf numFmtId="0" fontId="38" fillId="0" borderId="0" xfId="0" applyNumberFormat="1" applyFont="1" applyAlignment="1">
      <alignment horizontal="right" vertical="top" wrapText="1"/>
    </xf>
    <xf numFmtId="0" fontId="8" fillId="0" borderId="0" xfId="0" applyNumberFormat="1" applyFont="1" applyAlignment="1">
      <alignment vertical="top" wrapText="1"/>
    </xf>
    <xf numFmtId="0" fontId="8" fillId="0" borderId="0" xfId="0" applyNumberFormat="1" applyFont="1" applyAlignment="1">
      <alignment horizontal="left" vertical="top" wrapText="1"/>
    </xf>
    <xf numFmtId="0" fontId="29" fillId="0" borderId="0" xfId="0" applyNumberFormat="1" applyFont="1" applyAlignment="1">
      <alignment horizontal="center" vertical="center" wrapText="1"/>
    </xf>
    <xf numFmtId="4" fontId="8" fillId="0" borderId="4" xfId="0" applyNumberFormat="1" applyFont="1" applyBorder="1" applyAlignment="1">
      <alignment horizontal="center" vertical="center" wrapText="1"/>
    </xf>
    <xf numFmtId="49" fontId="13" fillId="6" borderId="6" xfId="0" applyNumberFormat="1" applyFont="1" applyFill="1" applyBorder="1" applyAlignment="1" applyProtection="1">
      <alignment horizontal="left" vertical="center" wrapText="1"/>
      <protection locked="0"/>
    </xf>
    <xf numFmtId="49" fontId="13" fillId="6" borderId="6" xfId="0" applyNumberFormat="1" applyFont="1" applyFill="1" applyBorder="1" applyAlignment="1" applyProtection="1">
      <alignment horizontal="left" vertical="center" wrapText="1"/>
      <protection locked="0"/>
    </xf>
    <xf numFmtId="49" fontId="8" fillId="14" borderId="4" xfId="0" applyNumberFormat="1" applyFont="1" applyFill="1" applyBorder="1" applyAlignment="1" applyProtection="1">
      <alignment horizontal="left" vertical="center" wrapText="1"/>
      <protection locked="0"/>
    </xf>
    <xf numFmtId="0" fontId="38" fillId="0" borderId="0" xfId="0" applyNumberFormat="1" applyFont="1">
      <alignment vertical="top"/>
    </xf>
    <xf numFmtId="49" fontId="8" fillId="0" borderId="23" xfId="0" applyNumberFormat="1" applyFont="1" applyBorder="1" applyAlignment="1">
      <alignment horizontal="center" vertical="center" wrapText="1"/>
    </xf>
    <xf numFmtId="0" fontId="8" fillId="0" borderId="23" xfId="0" applyNumberFormat="1" applyFont="1" applyBorder="1" applyAlignment="1">
      <alignment horizontal="left" vertical="center" wrapText="1"/>
    </xf>
    <xf numFmtId="0" fontId="8" fillId="0" borderId="23" xfId="0" applyNumberFormat="1" applyFont="1" applyBorder="1" applyAlignment="1">
      <alignment horizontal="left" vertical="center" wrapText="1" indent="1"/>
    </xf>
    <xf numFmtId="4" fontId="8" fillId="14" borderId="23" xfId="0" applyNumberFormat="1" applyFont="1" applyFill="1" applyBorder="1" applyAlignment="1" applyProtection="1">
      <alignment horizontal="right" vertical="center" wrapText="1"/>
      <protection locked="0"/>
    </xf>
    <xf numFmtId="49" fontId="8" fillId="0" borderId="24" xfId="0" applyNumberFormat="1" applyFont="1" applyBorder="1" applyAlignment="1">
      <alignment horizontal="center" vertical="center" wrapText="1"/>
    </xf>
    <xf numFmtId="49" fontId="8" fillId="14" borderId="4" xfId="0" applyNumberFormat="1" applyFont="1" applyFill="1" applyBorder="1" applyAlignment="1" applyProtection="1">
      <alignment horizontal="left" vertical="center" wrapText="1" indent="1"/>
      <protection locked="0"/>
    </xf>
    <xf numFmtId="0" fontId="8" fillId="0" borderId="23" xfId="0" applyNumberFormat="1" applyFont="1" applyBorder="1" applyAlignment="1">
      <alignment horizontal="left" vertical="center" wrapText="1" indent="2"/>
    </xf>
    <xf numFmtId="0" fontId="39" fillId="0" borderId="0" xfId="0" applyNumberFormat="1" applyFont="1" applyAlignment="1">
      <alignment horizontal="center" vertical="center" wrapText="1"/>
    </xf>
    <xf numFmtId="49" fontId="8" fillId="0" borderId="0" xfId="0" applyNumberFormat="1" applyFont="1" applyAlignment="1">
      <alignment horizontal="left" vertical="center" wrapText="1"/>
    </xf>
    <xf numFmtId="0" fontId="73" fillId="0" borderId="0" xfId="0" applyNumberFormat="1" applyFont="1" applyAlignment="1">
      <alignment vertical="center" wrapText="1"/>
    </xf>
    <xf numFmtId="0" fontId="73" fillId="0" borderId="0" xfId="0" applyNumberFormat="1" applyFont="1" applyAlignment="1">
      <alignment vertical="center" wrapText="1"/>
    </xf>
    <xf numFmtId="0" fontId="8" fillId="0" borderId="0" xfId="0" applyNumberFormat="1" applyFont="1" applyAlignment="1">
      <alignment horizontal="left" vertical="center" wrapText="1"/>
    </xf>
    <xf numFmtId="0" fontId="8" fillId="0" borderId="4" xfId="0" applyNumberFormat="1" applyFont="1" applyBorder="1" applyAlignment="1">
      <alignment horizontal="left" vertical="center" wrapText="1"/>
    </xf>
    <xf numFmtId="3" fontId="8" fillId="0" borderId="6" xfId="0" applyNumberFormat="1" applyFont="1" applyBorder="1" applyAlignment="1">
      <alignment vertical="center" wrapText="1"/>
    </xf>
    <xf numFmtId="0" fontId="8" fillId="0" borderId="5" xfId="0" applyNumberFormat="1" applyFont="1" applyBorder="1" applyAlignment="1">
      <alignment vertical="center" wrapText="1"/>
    </xf>
    <xf numFmtId="4" fontId="8" fillId="6" borderId="6" xfId="0" applyNumberFormat="1" applyFont="1" applyFill="1" applyBorder="1" applyAlignment="1" applyProtection="1">
      <alignment horizontal="right" vertical="center" wrapText="1"/>
      <protection locked="0"/>
    </xf>
    <xf numFmtId="4" fontId="8" fillId="0" borderId="6" xfId="0" applyNumberFormat="1" applyFont="1" applyBorder="1" applyAlignment="1">
      <alignment horizontal="right" vertical="center" wrapText="1"/>
    </xf>
    <xf numFmtId="4" fontId="8" fillId="0" borderId="19" xfId="0" applyNumberFormat="1" applyFont="1" applyBorder="1" applyAlignment="1">
      <alignment horizontal="right" vertical="center" wrapText="1"/>
    </xf>
    <xf numFmtId="0" fontId="8" fillId="0" borderId="6" xfId="0" applyNumberFormat="1" applyFont="1" applyBorder="1" applyAlignment="1">
      <alignment horizontal="center" vertical="center" wrapText="1"/>
    </xf>
    <xf numFmtId="3" fontId="8" fillId="14" borderId="6" xfId="0" applyNumberFormat="1" applyFont="1" applyFill="1" applyBorder="1" applyAlignment="1" applyProtection="1">
      <alignment vertical="center" wrapText="1"/>
      <protection locked="0"/>
    </xf>
    <xf numFmtId="49" fontId="8" fillId="6" borderId="6" xfId="0" applyNumberFormat="1" applyFont="1" applyFill="1" applyBorder="1" applyAlignment="1" applyProtection="1">
      <alignment horizontal="left" vertical="center" wrapText="1"/>
      <protection locked="0"/>
    </xf>
    <xf numFmtId="4" fontId="8" fillId="11" borderId="6" xfId="0" applyNumberFormat="1" applyFont="1" applyFill="1" applyBorder="1" applyAlignment="1">
      <alignment horizontal="right" vertical="center" wrapText="1"/>
    </xf>
    <xf numFmtId="0" fontId="8" fillId="0" borderId="0" xfId="0" applyNumberFormat="1" applyFont="1" applyAlignment="1">
      <alignment horizontal="left" vertical="center" wrapText="1"/>
    </xf>
    <xf numFmtId="0" fontId="0" fillId="0" borderId="6" xfId="0" applyNumberFormat="1" applyFont="1" applyBorder="1" applyAlignment="1">
      <alignment horizontal="center" vertical="center"/>
    </xf>
    <xf numFmtId="49" fontId="0" fillId="0" borderId="4" xfId="0" applyNumberFormat="1" applyFont="1" applyBorder="1" applyAlignment="1">
      <alignment horizontal="left" vertical="center" wrapText="1" indent="1"/>
    </xf>
    <xf numFmtId="0" fontId="8" fillId="0" borderId="5" xfId="0" applyNumberFormat="1" applyFont="1" applyBorder="1" applyAlignment="1">
      <alignment horizontal="center" vertical="center" wrapText="1"/>
    </xf>
    <xf numFmtId="49" fontId="0" fillId="0" borderId="6" xfId="0" applyNumberFormat="1" applyFont="1" applyBorder="1" applyAlignment="1">
      <alignment horizontal="center" vertical="center"/>
    </xf>
    <xf numFmtId="49" fontId="0" fillId="0" borderId="4" xfId="0" applyNumberFormat="1" applyFont="1" applyBorder="1" applyAlignment="1">
      <alignment vertical="center" wrapText="1"/>
    </xf>
    <xf numFmtId="0" fontId="8" fillId="13" borderId="11" xfId="0" applyNumberFormat="1" applyFont="1" applyFill="1" applyBorder="1" applyAlignment="1">
      <alignment vertical="center" wrapText="1"/>
    </xf>
    <xf numFmtId="0" fontId="8" fillId="0" borderId="7" xfId="0" applyNumberFormat="1" applyFont="1" applyBorder="1" applyAlignment="1">
      <alignment horizontal="center" vertical="center" wrapText="1"/>
    </xf>
    <xf numFmtId="0" fontId="8" fillId="13" borderId="20" xfId="0" applyNumberFormat="1" applyFont="1" applyFill="1" applyBorder="1" applyAlignment="1">
      <alignment vertical="center" wrapText="1"/>
    </xf>
    <xf numFmtId="49" fontId="8" fillId="14" borderId="6" xfId="0" applyNumberFormat="1" applyFont="1" applyFill="1" applyBorder="1" applyAlignment="1" applyProtection="1">
      <alignment horizontal="left" vertical="center" wrapText="1"/>
      <protection locked="0"/>
    </xf>
    <xf numFmtId="49" fontId="0" fillId="6" borderId="4" xfId="0" applyNumberFormat="1" applyFont="1" applyFill="1" applyBorder="1" applyAlignment="1" applyProtection="1">
      <alignment horizontal="left" vertical="center" wrapText="1"/>
      <protection locked="0"/>
    </xf>
    <xf numFmtId="0" fontId="7" fillId="0" borderId="0" xfId="0" applyNumberFormat="1" applyFont="1" applyAlignment="1">
      <alignment horizontal="left" vertical="center" wrapText="1" indent="1"/>
    </xf>
    <xf numFmtId="0" fontId="78" fillId="9" borderId="0" xfId="0" applyNumberFormat="1" applyFont="1" applyFill="1" applyAlignment="1">
      <alignment horizontal="center" vertical="center" wrapText="1"/>
    </xf>
    <xf numFmtId="0" fontId="78" fillId="9" borderId="0" xfId="0" applyNumberFormat="1" applyFont="1" applyFill="1" applyAlignment="1">
      <alignment horizontal="right" vertical="center" wrapText="1"/>
    </xf>
    <xf numFmtId="0" fontId="8" fillId="0" borderId="4" xfId="0" applyNumberFormat="1" applyFont="1" applyBorder="1" applyAlignment="1">
      <alignment horizontal="center" vertical="center" wrapText="1"/>
    </xf>
    <xf numFmtId="49" fontId="39" fillId="0" borderId="0" xfId="0" applyNumberFormat="1" applyFont="1" applyAlignment="1">
      <alignment horizontal="center" vertical="center" wrapText="1"/>
    </xf>
    <xf numFmtId="0" fontId="8" fillId="0" borderId="4" xfId="0" applyNumberFormat="1" applyFont="1" applyBorder="1" applyAlignment="1">
      <alignment horizontal="center" vertical="center" wrapText="1"/>
    </xf>
    <xf numFmtId="0" fontId="39" fillId="0" borderId="0" xfId="0" applyNumberFormat="1" applyFont="1" applyAlignment="1">
      <alignment horizontal="center" vertical="top"/>
    </xf>
    <xf numFmtId="0" fontId="8" fillId="0" borderId="4" xfId="0" applyNumberFormat="1" applyFont="1" applyBorder="1" applyAlignment="1">
      <alignment horizontal="left" vertical="center" wrapText="1"/>
    </xf>
    <xf numFmtId="0" fontId="40" fillId="0" borderId="0" xfId="0" applyNumberFormat="1" applyFont="1" applyAlignment="1">
      <alignment horizontal="center" vertical="center" wrapText="1"/>
    </xf>
    <xf numFmtId="0" fontId="8" fillId="0" borderId="4" xfId="0" applyNumberFormat="1" applyFont="1" applyBorder="1" applyAlignment="1">
      <alignment horizontal="left" vertical="center" wrapText="1"/>
    </xf>
    <xf numFmtId="49" fontId="8" fillId="15" borderId="4" xfId="0" applyNumberFormat="1" applyFont="1" applyFill="1" applyBorder="1" applyAlignment="1">
      <alignment horizontal="left" vertical="center" wrapText="1" indent="1"/>
    </xf>
    <xf numFmtId="0" fontId="8" fillId="0" borderId="6" xfId="0" applyNumberFormat="1" applyFont="1" applyBorder="1" applyAlignment="1">
      <alignment vertical="center" wrapText="1"/>
    </xf>
    <xf numFmtId="0" fontId="8" fillId="0" borderId="0" xfId="0" applyNumberFormat="1" applyFont="1" applyAlignment="1">
      <alignment horizontal="right" vertical="center"/>
    </xf>
    <xf numFmtId="49" fontId="13" fillId="13" borderId="5" xfId="0" applyNumberFormat="1" applyFont="1" applyFill="1" applyBorder="1" applyAlignment="1">
      <alignment horizontal="left" vertical="center" wrapText="1"/>
    </xf>
    <xf numFmtId="0" fontId="79" fillId="0" borderId="0" xfId="0" applyNumberFormat="1" applyFont="1" applyAlignment="1">
      <alignment vertical="center"/>
    </xf>
    <xf numFmtId="0" fontId="80" fillId="0" borderId="0" xfId="33" applyFont="1" applyAlignment="1">
      <alignment vertical="center"/>
    </xf>
    <xf numFmtId="49" fontId="40" fillId="0" borderId="14" xfId="0" applyNumberFormat="1" applyFont="1" applyBorder="1">
      <alignment vertical="top"/>
    </xf>
    <xf numFmtId="49" fontId="40" fillId="0" borderId="14" xfId="0" applyNumberFormat="1" applyFont="1" applyBorder="1">
      <alignment vertical="top"/>
    </xf>
    <xf numFmtId="0" fontId="40" fillId="0" borderId="14" xfId="0" applyNumberFormat="1" applyFont="1" applyBorder="1" applyAlignment="1">
      <alignment vertical="center" wrapText="1"/>
    </xf>
    <xf numFmtId="0" fontId="8" fillId="0" borderId="5" xfId="0" applyNumberFormat="1" applyFont="1" applyBorder="1" applyAlignment="1">
      <alignment horizontal="left" vertical="center" wrapText="1" indent="1"/>
    </xf>
    <xf numFmtId="0" fontId="62" fillId="0" borderId="14" xfId="0" applyNumberFormat="1" applyFont="1" applyBorder="1" applyAlignment="1">
      <alignment vertical="center" wrapText="1"/>
    </xf>
    <xf numFmtId="0" fontId="8" fillId="0" borderId="4" xfId="0" applyNumberFormat="1" applyFont="1" applyBorder="1" applyAlignment="1">
      <alignment horizontal="center" vertical="center" wrapText="1"/>
    </xf>
    <xf numFmtId="4" fontId="8" fillId="0" borderId="23" xfId="0" applyNumberFormat="1" applyFont="1" applyBorder="1" applyAlignment="1">
      <alignment horizontal="center" vertical="center" wrapText="1"/>
    </xf>
    <xf numFmtId="0" fontId="8" fillId="0" borderId="25" xfId="0" applyNumberFormat="1" applyFont="1" applyBorder="1" applyAlignment="1">
      <alignment horizontal="left" vertical="center" wrapText="1"/>
    </xf>
    <xf numFmtId="0" fontId="8" fillId="0" borderId="25" xfId="0" applyNumberFormat="1" applyFont="1" applyBorder="1" applyAlignment="1">
      <alignment horizontal="left" vertical="center" wrapText="1" indent="1"/>
    </xf>
    <xf numFmtId="4" fontId="8" fillId="14" borderId="25" xfId="0" applyNumberFormat="1" applyFont="1" applyFill="1" applyBorder="1" applyAlignment="1" applyProtection="1">
      <alignment horizontal="right" vertical="center" wrapText="1"/>
      <protection locked="0"/>
    </xf>
    <xf numFmtId="4" fontId="8" fillId="0" borderId="25" xfId="0" applyNumberFormat="1" applyFont="1" applyBorder="1" applyAlignment="1">
      <alignment horizontal="center" vertical="center" wrapText="1"/>
    </xf>
    <xf numFmtId="49" fontId="8" fillId="0" borderId="26" xfId="0" applyNumberFormat="1" applyFont="1" applyBorder="1" applyAlignment="1">
      <alignment horizontal="center" vertical="center" wrapText="1"/>
    </xf>
    <xf numFmtId="4" fontId="8" fillId="14" borderId="6" xfId="0" applyNumberFormat="1" applyFont="1" applyFill="1" applyBorder="1" applyAlignment="1" applyProtection="1">
      <alignment horizontal="right" vertical="center" wrapText="1"/>
      <protection locked="0"/>
    </xf>
    <xf numFmtId="4" fontId="8" fillId="14" borderId="26" xfId="0" applyNumberFormat="1" applyFont="1" applyFill="1" applyBorder="1" applyAlignment="1" applyProtection="1">
      <alignment horizontal="right" vertical="center" wrapText="1"/>
      <protection locked="0"/>
    </xf>
    <xf numFmtId="0" fontId="39" fillId="0" borderId="0" xfId="0" applyNumberFormat="1" applyFont="1" applyAlignment="1">
      <alignment horizontal="left" vertical="center" wrapText="1"/>
    </xf>
    <xf numFmtId="0" fontId="40" fillId="0" borderId="0" xfId="0" applyNumberFormat="1" applyFont="1" applyAlignment="1">
      <alignment horizontal="left" vertical="center" wrapText="1"/>
    </xf>
    <xf numFmtId="0" fontId="44" fillId="0" borderId="0" xfId="0" applyNumberFormat="1" applyFont="1" applyAlignment="1">
      <alignment horizontal="left" vertical="center" wrapText="1"/>
    </xf>
    <xf numFmtId="0" fontId="25" fillId="0" borderId="0" xfId="0" applyNumberFormat="1" applyFont="1" applyAlignment="1">
      <alignment horizontal="left" vertical="center" wrapText="1"/>
    </xf>
    <xf numFmtId="49" fontId="8" fillId="0" borderId="0" xfId="0" applyNumberFormat="1" applyFont="1" applyAlignment="1">
      <alignment horizontal="center" vertical="center" wrapText="1"/>
    </xf>
    <xf numFmtId="0" fontId="74" fillId="0" borderId="0" xfId="0" applyNumberFormat="1" applyFont="1" applyAlignment="1">
      <alignment vertical="center" wrapText="1"/>
    </xf>
    <xf numFmtId="0" fontId="40" fillId="0" borderId="0" xfId="0" applyNumberFormat="1" applyFont="1" applyAlignment="1">
      <alignment vertical="center" wrapText="1"/>
    </xf>
    <xf numFmtId="0" fontId="44" fillId="0" borderId="0" xfId="0" applyNumberFormat="1" applyFont="1" applyAlignment="1">
      <alignment vertical="center" wrapText="1"/>
    </xf>
    <xf numFmtId="0" fontId="25" fillId="0" borderId="0" xfId="0" applyNumberFormat="1" applyFont="1" applyAlignment="1">
      <alignment vertical="center" wrapText="1"/>
    </xf>
    <xf numFmtId="49" fontId="19" fillId="0" borderId="0" xfId="0" applyNumberFormat="1" applyFont="1" applyAlignment="1">
      <alignment horizontal="center" vertical="center"/>
    </xf>
    <xf numFmtId="4" fontId="8" fillId="0" borderId="27" xfId="0" applyNumberFormat="1" applyFont="1" applyBorder="1" applyAlignment="1">
      <alignment horizontal="center" vertical="center" wrapText="1"/>
    </xf>
    <xf numFmtId="4" fontId="8" fillId="14" borderId="27" xfId="0" applyNumberFormat="1" applyFont="1" applyFill="1" applyBorder="1" applyAlignment="1" applyProtection="1">
      <alignment horizontal="right" vertical="center" wrapText="1"/>
      <protection locked="0"/>
    </xf>
    <xf numFmtId="4" fontId="8" fillId="14" borderId="15" xfId="0" applyNumberFormat="1" applyFont="1" applyFill="1" applyBorder="1" applyAlignment="1" applyProtection="1">
      <alignment horizontal="right" vertical="center" wrapText="1"/>
      <protection locked="0"/>
    </xf>
    <xf numFmtId="49" fontId="8" fillId="0" borderId="25" xfId="0" applyNumberFormat="1" applyFont="1" applyBorder="1" applyAlignment="1">
      <alignment horizontal="center" vertical="center" wrapText="1"/>
    </xf>
    <xf numFmtId="0" fontId="8" fillId="0" borderId="27" xfId="0" applyNumberFormat="1" applyFont="1" applyBorder="1" applyAlignment="1">
      <alignment horizontal="left" vertical="center" wrapText="1"/>
    </xf>
    <xf numFmtId="0" fontId="8" fillId="0" borderId="12" xfId="0" applyNumberFormat="1" applyFont="1" applyBorder="1" applyAlignment="1">
      <alignment vertical="center" wrapText="1"/>
    </xf>
    <xf numFmtId="0" fontId="30" fillId="0" borderId="0" xfId="0" applyNumberFormat="1" applyFont="1" applyAlignment="1">
      <alignment horizontal="center" vertical="center" wrapText="1"/>
    </xf>
    <xf numFmtId="0" fontId="8" fillId="13" borderId="7" xfId="0" applyNumberFormat="1" applyFont="1" applyFill="1" applyBorder="1" applyAlignment="1">
      <alignment vertical="center" wrapText="1"/>
    </xf>
    <xf numFmtId="0" fontId="39" fillId="13" borderId="5" xfId="0" applyNumberFormat="1" applyFont="1" applyFill="1" applyBorder="1" applyAlignment="1">
      <alignment vertical="center" wrapText="1"/>
    </xf>
    <xf numFmtId="169" fontId="8" fillId="11" borderId="4" xfId="0" applyNumberFormat="1" applyFont="1" applyFill="1" applyBorder="1" applyAlignment="1">
      <alignment horizontal="right" vertical="center" wrapText="1"/>
    </xf>
    <xf numFmtId="49" fontId="16" fillId="14" borderId="4" xfId="0" applyNumberFormat="1" applyFont="1" applyFill="1" applyBorder="1" applyAlignment="1" applyProtection="1">
      <alignment horizontal="left" vertical="center" wrapText="1" indent="1"/>
      <protection locked="0"/>
    </xf>
    <xf numFmtId="0" fontId="60" fillId="9" borderId="0" xfId="0" applyNumberFormat="1" applyFont="1" applyFill="1" applyAlignment="1">
      <alignment horizontal="right" vertical="center"/>
    </xf>
    <xf numFmtId="49" fontId="0" fillId="0" borderId="4" xfId="0" applyNumberFormat="1" applyFont="1" applyBorder="1">
      <alignment vertical="top"/>
    </xf>
    <xf numFmtId="0" fontId="8" fillId="0" borderId="6" xfId="0" applyNumberFormat="1" applyFont="1" applyBorder="1" applyAlignment="1">
      <alignment horizontal="center" vertical="center" wrapText="1"/>
    </xf>
    <xf numFmtId="49" fontId="0" fillId="4" borderId="9" xfId="0" applyNumberFormat="1" applyFont="1" applyFill="1" applyBorder="1">
      <alignment vertical="top"/>
    </xf>
    <xf numFmtId="0" fontId="8" fillId="0" borderId="0" xfId="0" applyNumberFormat="1" applyFont="1" applyAlignment="1">
      <alignment vertical="center" wrapText="1"/>
    </xf>
    <xf numFmtId="0" fontId="25" fillId="0" borderId="0" xfId="0" applyNumberFormat="1" applyFont="1" applyAlignment="1">
      <alignment vertical="center" wrapText="1"/>
    </xf>
    <xf numFmtId="0" fontId="8" fillId="0" borderId="4" xfId="0" applyNumberFormat="1" applyFont="1" applyBorder="1" applyAlignment="1">
      <alignment horizontal="center" vertical="center" wrapText="1"/>
    </xf>
    <xf numFmtId="0" fontId="8" fillId="0" borderId="4" xfId="0" applyNumberFormat="1" applyFont="1" applyBorder="1" applyAlignment="1">
      <alignment horizontal="center" vertical="center" wrapText="1"/>
    </xf>
    <xf numFmtId="49" fontId="8" fillId="0" borderId="0" xfId="0" applyNumberFormat="1" applyFont="1" applyAlignment="1">
      <alignment vertical="center" wrapText="1"/>
    </xf>
    <xf numFmtId="0" fontId="8" fillId="0" borderId="0" xfId="0" applyNumberFormat="1" applyFont="1" applyAlignment="1">
      <alignment horizontal="center" vertical="center" wrapText="1"/>
    </xf>
    <xf numFmtId="49" fontId="0" fillId="0" borderId="6" xfId="0" applyNumberFormat="1" applyFont="1" applyBorder="1">
      <alignment vertical="top"/>
    </xf>
    <xf numFmtId="49" fontId="0" fillId="0" borderId="6" xfId="0" applyNumberFormat="1" applyFont="1" applyBorder="1" applyAlignment="1">
      <alignment horizontal="center" vertical="top"/>
    </xf>
    <xf numFmtId="49" fontId="0" fillId="0" borderId="7" xfId="0" applyNumberFormat="1" applyFont="1" applyBorder="1" applyAlignment="1">
      <alignment horizontal="center" vertical="top"/>
    </xf>
    <xf numFmtId="49" fontId="0" fillId="0" borderId="0" xfId="0" applyNumberFormat="1" applyFont="1">
      <alignment vertical="top"/>
    </xf>
    <xf numFmtId="0" fontId="8" fillId="0" borderId="0" xfId="33" applyFont="1" applyAlignment="1">
      <alignment horizontal="center" vertical="center" wrapText="1"/>
    </xf>
    <xf numFmtId="0" fontId="19" fillId="9" borderId="0" xfId="33" applyFont="1" applyFill="1" applyAlignment="1">
      <alignment vertical="center" wrapText="1"/>
    </xf>
    <xf numFmtId="0" fontId="13" fillId="0" borderId="0" xfId="0" applyNumberFormat="1" applyFont="1" applyAlignment="1">
      <alignment horizontal="left" vertical="center" indent="1"/>
    </xf>
    <xf numFmtId="0" fontId="0" fillId="9" borderId="0" xfId="33" applyFont="1" applyFill="1" applyAlignment="1">
      <alignment horizontal="right" vertical="center" wrapText="1" indent="1"/>
    </xf>
    <xf numFmtId="0" fontId="0" fillId="9" borderId="0" xfId="33" applyFont="1" applyFill="1" applyAlignment="1">
      <alignment horizontal="left" vertical="center" wrapText="1" indent="1"/>
    </xf>
    <xf numFmtId="14" fontId="8" fillId="9" borderId="0" xfId="33" applyNumberFormat="1" applyFont="1" applyFill="1" applyAlignment="1">
      <alignment horizontal="center" vertical="center" wrapText="1"/>
    </xf>
    <xf numFmtId="171" fontId="8" fillId="0" borderId="6" xfId="0" applyNumberFormat="1" applyFont="1" applyBorder="1" applyAlignment="1">
      <alignment horizontal="center" vertical="center" wrapText="1"/>
    </xf>
    <xf numFmtId="49" fontId="29" fillId="0" borderId="7" xfId="0" applyNumberFormat="1" applyFont="1" applyBorder="1" applyAlignment="1">
      <alignment horizontal="center" vertical="center" wrapText="1"/>
    </xf>
    <xf numFmtId="49" fontId="8" fillId="0" borderId="0" xfId="0" applyNumberFormat="1" applyFont="1" applyAlignment="1">
      <alignment horizontal="center" vertical="center" wrapText="1"/>
    </xf>
    <xf numFmtId="0" fontId="8" fillId="0" borderId="15" xfId="0" applyNumberFormat="1" applyFont="1" applyBorder="1" applyAlignment="1">
      <alignment horizontal="center" vertical="center" wrapText="1"/>
    </xf>
    <xf numFmtId="0" fontId="30" fillId="0" borderId="0" xfId="0" applyNumberFormat="1" applyFont="1" applyAlignment="1">
      <alignment horizontal="center" vertical="center" wrapText="1"/>
    </xf>
    <xf numFmtId="0" fontId="81" fillId="0" borderId="0" xfId="33" applyFont="1" applyAlignment="1">
      <alignment horizontal="left" vertical="center" wrapText="1"/>
    </xf>
    <xf numFmtId="0" fontId="81" fillId="0" borderId="0" xfId="33" applyFont="1" applyAlignment="1">
      <alignment horizontal="left" vertical="center" wrapText="1"/>
    </xf>
    <xf numFmtId="14" fontId="81" fillId="9" borderId="0" xfId="33" applyNumberFormat="1" applyFont="1" applyFill="1" applyAlignment="1">
      <alignment horizontal="left" vertical="center" wrapText="1"/>
    </xf>
    <xf numFmtId="14" fontId="82" fillId="0" borderId="0" xfId="33" applyNumberFormat="1" applyFont="1" applyAlignment="1">
      <alignment horizontal="center" vertical="center" wrapText="1"/>
    </xf>
    <xf numFmtId="0" fontId="81" fillId="0" borderId="0" xfId="33" applyFont="1" applyAlignment="1">
      <alignment horizontal="left" vertical="center" wrapText="1"/>
    </xf>
    <xf numFmtId="14" fontId="83" fillId="0" borderId="4" xfId="33" applyNumberFormat="1" applyFont="1" applyBorder="1" applyAlignment="1">
      <alignment horizontal="left" vertical="center" wrapText="1"/>
    </xf>
    <xf numFmtId="0" fontId="40" fillId="0" borderId="0" xfId="0" applyNumberFormat="1" applyFont="1" applyAlignment="1">
      <alignment vertical="center"/>
    </xf>
    <xf numFmtId="49" fontId="8" fillId="13" borderId="11" xfId="0" applyNumberFormat="1" applyFont="1" applyFill="1" applyBorder="1" applyAlignment="1">
      <alignment horizontal="center" vertical="center" wrapText="1"/>
    </xf>
    <xf numFmtId="49" fontId="8" fillId="11" borderId="15" xfId="0" applyNumberFormat="1" applyFont="1" applyFill="1" applyBorder="1" applyAlignment="1">
      <alignment horizontal="center" vertical="center" wrapText="1"/>
    </xf>
    <xf numFmtId="49" fontId="39" fillId="0" borderId="4" xfId="0" applyNumberFormat="1" applyFont="1" applyBorder="1" applyAlignment="1">
      <alignment horizontal="left" vertical="center" wrapText="1"/>
    </xf>
    <xf numFmtId="14" fontId="8" fillId="15" borderId="15" xfId="0" applyNumberFormat="1" applyFont="1" applyFill="1" applyBorder="1" applyAlignment="1">
      <alignment horizontal="left" vertical="center" wrapText="1" indent="1"/>
    </xf>
    <xf numFmtId="49" fontId="8" fillId="13" borderId="6" xfId="0" applyNumberFormat="1" applyFont="1" applyFill="1" applyBorder="1" applyAlignment="1">
      <alignment horizontal="right" vertical="center" wrapText="1"/>
    </xf>
    <xf numFmtId="0" fontId="40" fillId="0" borderId="15" xfId="0" applyNumberFormat="1" applyFont="1" applyBorder="1" applyAlignment="1">
      <alignment horizontal="center" vertical="center" wrapText="1"/>
    </xf>
    <xf numFmtId="49" fontId="8" fillId="0" borderId="5" xfId="0" applyNumberFormat="1" applyFont="1" applyBorder="1" applyAlignment="1">
      <alignment horizontal="center" vertical="top"/>
    </xf>
    <xf numFmtId="49" fontId="8" fillId="0" borderId="4" xfId="0" applyNumberFormat="1" applyFont="1" applyBorder="1" applyAlignment="1">
      <alignment horizontal="center" vertical="top"/>
    </xf>
    <xf numFmtId="0" fontId="8" fillId="0" borderId="15" xfId="0" applyNumberFormat="1" applyFont="1" applyBorder="1" applyAlignment="1">
      <alignment horizontal="center" vertical="center" wrapText="1"/>
    </xf>
    <xf numFmtId="49" fontId="8" fillId="0" borderId="6" xfId="0" applyNumberFormat="1" applyFont="1" applyBorder="1" applyAlignment="1">
      <alignment horizontal="center" vertical="top"/>
    </xf>
    <xf numFmtId="0" fontId="29" fillId="0" borderId="16" xfId="0" applyNumberFormat="1" applyFont="1" applyBorder="1" applyAlignment="1">
      <alignment vertical="top" wrapText="1"/>
    </xf>
    <xf numFmtId="0" fontId="29" fillId="0" borderId="0" xfId="0" applyNumberFormat="1" applyFont="1" applyAlignment="1">
      <alignment vertical="top" wrapText="1"/>
    </xf>
    <xf numFmtId="0" fontId="40" fillId="0" borderId="4" xfId="0" applyNumberFormat="1" applyFont="1" applyBorder="1" applyAlignment="1">
      <alignment horizontal="center" vertical="center" wrapText="1"/>
    </xf>
    <xf numFmtId="0" fontId="8" fillId="0" borderId="4" xfId="0" applyNumberFormat="1" applyFont="1" applyBorder="1" applyAlignment="1">
      <alignment horizontal="center" vertical="center" wrapText="1"/>
    </xf>
    <xf numFmtId="49" fontId="8" fillId="0" borderId="4" xfId="0" applyNumberFormat="1" applyFont="1" applyBorder="1" applyAlignment="1">
      <alignment horizontal="center" vertical="center" wrapText="1"/>
    </xf>
    <xf numFmtId="49" fontId="8" fillId="0" borderId="0" xfId="0" applyNumberFormat="1" applyFont="1" applyAlignment="1">
      <alignment horizontal="center" vertical="center" wrapText="1"/>
    </xf>
    <xf numFmtId="0" fontId="8" fillId="0" borderId="4" xfId="0" applyNumberFormat="1" applyFont="1" applyBorder="1" applyAlignment="1">
      <alignment horizontal="center" vertical="center" wrapText="1"/>
    </xf>
    <xf numFmtId="0" fontId="8" fillId="0" borderId="6" xfId="0" applyNumberFormat="1" applyFont="1" applyBorder="1" applyAlignment="1">
      <alignment horizontal="center" vertical="center" wrapText="1"/>
    </xf>
    <xf numFmtId="0" fontId="8" fillId="0" borderId="4" xfId="0" applyNumberFormat="1" applyFont="1" applyBorder="1" applyAlignment="1">
      <alignment horizontal="center" vertical="center" wrapText="1"/>
    </xf>
    <xf numFmtId="0" fontId="8" fillId="0" borderId="9" xfId="0" applyNumberFormat="1" applyFont="1" applyBorder="1" applyAlignment="1">
      <alignment horizontal="center" vertical="center" wrapText="1"/>
    </xf>
    <xf numFmtId="0" fontId="39" fillId="0" borderId="14" xfId="0" applyNumberFormat="1" applyFont="1" applyBorder="1" applyAlignment="1">
      <alignment vertical="center"/>
    </xf>
    <xf numFmtId="0" fontId="8" fillId="0" borderId="5" xfId="0" applyNumberFormat="1" applyFont="1" applyBorder="1" applyAlignment="1">
      <alignment horizontal="center" vertical="center" wrapText="1"/>
    </xf>
    <xf numFmtId="49" fontId="8" fillId="15" borderId="4" xfId="0" applyNumberFormat="1" applyFont="1" applyFill="1" applyBorder="1" applyAlignment="1">
      <alignment horizontal="center" vertical="center" wrapText="1"/>
    </xf>
    <xf numFmtId="0" fontId="8" fillId="0" borderId="4" xfId="0" applyNumberFormat="1" applyFont="1" applyBorder="1" applyAlignment="1">
      <alignment horizontal="center" vertical="center" wrapText="1"/>
    </xf>
    <xf numFmtId="0" fontId="8" fillId="11" borderId="6" xfId="0" applyNumberFormat="1" applyFont="1" applyFill="1" applyBorder="1" applyAlignment="1">
      <alignment horizontal="left" vertical="top" wrapText="1" indent="1"/>
    </xf>
    <xf numFmtId="3" fontId="8" fillId="6" borderId="6" xfId="0" applyNumberFormat="1" applyFont="1" applyFill="1" applyBorder="1" applyAlignment="1" applyProtection="1">
      <alignment horizontal="right" vertical="center" wrapText="1"/>
      <protection locked="0"/>
    </xf>
    <xf numFmtId="49" fontId="13" fillId="6" borderId="4"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8" fillId="0" borderId="5" xfId="0" applyNumberFormat="1" applyFont="1" applyBorder="1" applyAlignment="1">
      <alignment horizontal="center" vertical="center" wrapText="1"/>
    </xf>
    <xf numFmtId="0" fontId="8" fillId="0" borderId="4" xfId="0" applyNumberFormat="1" applyFont="1" applyBorder="1" applyAlignment="1">
      <alignment horizontal="center" vertical="center" wrapText="1"/>
    </xf>
    <xf numFmtId="49" fontId="0" fillId="0" borderId="4" xfId="0" applyNumberFormat="1" applyFont="1" applyBorder="1">
      <alignment vertical="top"/>
    </xf>
    <xf numFmtId="0" fontId="30" fillId="9" borderId="0" xfId="0" applyNumberFormat="1" applyFont="1" applyFill="1" applyAlignment="1">
      <alignment horizontal="center" vertical="center" wrapText="1"/>
    </xf>
    <xf numFmtId="0" fontId="8" fillId="9" borderId="4" xfId="0" applyNumberFormat="1" applyFont="1" applyFill="1" applyBorder="1" applyAlignment="1">
      <alignment horizontal="center" vertical="center" wrapText="1"/>
    </xf>
    <xf numFmtId="0" fontId="0" fillId="0" borderId="12" xfId="0" applyNumberFormat="1" applyFont="1" applyBorder="1" applyAlignment="1">
      <alignment horizontal="center" vertical="center" wrapText="1"/>
    </xf>
    <xf numFmtId="0" fontId="0" fillId="0" borderId="22" xfId="0" applyNumberFormat="1" applyFont="1" applyBorder="1" applyAlignment="1">
      <alignment horizontal="center" vertical="center" wrapText="1"/>
    </xf>
    <xf numFmtId="0" fontId="0" fillId="0" borderId="9" xfId="0" applyNumberFormat="1" applyFont="1" applyBorder="1" applyAlignment="1">
      <alignment horizontal="center" vertical="center" wrapText="1"/>
    </xf>
    <xf numFmtId="0" fontId="0" fillId="0" borderId="15" xfId="0" applyNumberFormat="1" applyFont="1" applyBorder="1" applyAlignment="1">
      <alignment horizontal="center" vertical="center" wrapText="1"/>
    </xf>
    <xf numFmtId="0" fontId="0" fillId="0" borderId="9" xfId="0" applyNumberFormat="1" applyFont="1" applyBorder="1" applyAlignment="1">
      <alignment horizontal="center" vertical="center" wrapText="1"/>
    </xf>
    <xf numFmtId="0" fontId="0" fillId="0" borderId="15" xfId="0" applyNumberFormat="1" applyFont="1" applyBorder="1" applyAlignment="1">
      <alignment horizontal="center" vertical="center" wrapText="1"/>
    </xf>
    <xf numFmtId="49" fontId="29" fillId="9" borderId="7" xfId="0" applyNumberFormat="1" applyFont="1" applyFill="1" applyBorder="1" applyAlignment="1">
      <alignment horizontal="center" vertical="center" wrapText="1"/>
    </xf>
    <xf numFmtId="0" fontId="8" fillId="0" borderId="0" xfId="0" applyNumberFormat="1" applyFont="1" applyAlignment="1">
      <alignment horizontal="left" vertical="center" wrapText="1" indent="1"/>
    </xf>
    <xf numFmtId="0" fontId="71" fillId="0" borderId="9" xfId="0" applyNumberFormat="1" applyFont="1" applyBorder="1" applyAlignment="1">
      <alignment horizontal="center" vertical="center" wrapText="1"/>
    </xf>
    <xf numFmtId="49" fontId="39" fillId="0" borderId="0" xfId="0" applyNumberFormat="1" applyFont="1">
      <alignment vertical="top"/>
    </xf>
    <xf numFmtId="0" fontId="84" fillId="0" borderId="0" xfId="0" applyNumberFormat="1" applyFont="1" applyAlignment="1">
      <alignment vertical="center" wrapText="1"/>
    </xf>
    <xf numFmtId="0" fontId="0" fillId="0" borderId="0" xfId="0" applyNumberFormat="1" applyFont="1">
      <alignment vertical="top"/>
    </xf>
    <xf numFmtId="49" fontId="0" fillId="0" borderId="4" xfId="0" applyNumberFormat="1" applyFont="1" applyBorder="1">
      <alignment vertical="top"/>
    </xf>
    <xf numFmtId="49" fontId="8" fillId="0" borderId="0" xfId="0" applyNumberFormat="1" applyFont="1">
      <alignment vertical="top"/>
    </xf>
    <xf numFmtId="0" fontId="8" fillId="0" borderId="4" xfId="0" applyNumberFormat="1" applyFont="1" applyBorder="1" applyAlignment="1">
      <alignment horizontal="left" vertical="top" wrapText="1"/>
    </xf>
    <xf numFmtId="49" fontId="81" fillId="7" borderId="4" xfId="0" applyNumberFormat="1" applyFont="1" applyFill="1" applyBorder="1" applyAlignment="1">
      <alignment horizontal="center" vertical="top" wrapText="1"/>
    </xf>
    <xf numFmtId="49" fontId="85" fillId="0" borderId="4" xfId="0" applyNumberFormat="1" applyFont="1" applyBorder="1" applyAlignment="1">
      <alignment horizontal="left" vertical="top" wrapText="1"/>
    </xf>
    <xf numFmtId="0" fontId="85" fillId="0" borderId="4" xfId="0" applyNumberFormat="1" applyFont="1" applyBorder="1" applyAlignment="1">
      <alignment horizontal="left" vertical="top" wrapText="1"/>
    </xf>
    <xf numFmtId="0" fontId="85" fillId="7" borderId="4" xfId="0" applyNumberFormat="1" applyFont="1" applyFill="1" applyBorder="1" applyAlignment="1">
      <alignment horizontal="right" vertical="center" wrapText="1"/>
    </xf>
    <xf numFmtId="49" fontId="85" fillId="0" borderId="4" xfId="0" applyNumberFormat="1" applyFont="1" applyBorder="1" applyAlignment="1">
      <alignment vertical="top" wrapText="1"/>
    </xf>
    <xf numFmtId="0" fontId="85" fillId="0" borderId="9" xfId="0" applyNumberFormat="1" applyFont="1" applyBorder="1" applyAlignment="1">
      <alignment horizontal="left" vertical="top" wrapText="1"/>
    </xf>
    <xf numFmtId="0" fontId="85" fillId="0" borderId="5" xfId="0" applyNumberFormat="1" applyFont="1" applyBorder="1" applyAlignment="1">
      <alignment horizontal="left" vertical="top" wrapText="1"/>
    </xf>
    <xf numFmtId="0" fontId="85" fillId="0" borderId="4" xfId="0" applyNumberFormat="1" applyFont="1" applyBorder="1" applyAlignment="1">
      <alignment vertical="top" wrapText="1"/>
    </xf>
    <xf numFmtId="0" fontId="81" fillId="7" borderId="4" xfId="0" applyNumberFormat="1" applyFont="1" applyFill="1" applyBorder="1" applyAlignment="1">
      <alignment horizontal="center" vertical="top" wrapText="1"/>
    </xf>
    <xf numFmtId="0" fontId="80" fillId="0" borderId="0" xfId="33" applyFont="1" applyAlignment="1">
      <alignment vertical="center" wrapText="1"/>
    </xf>
    <xf numFmtId="0" fontId="7" fillId="0" borderId="0" xfId="0" applyNumberFormat="1" applyFont="1" applyAlignment="1">
      <alignment horizontal="left" vertical="center" wrapText="1" indent="3"/>
    </xf>
    <xf numFmtId="3" fontId="0" fillId="0" borderId="5" xfId="0" applyNumberFormat="1" applyFont="1" applyBorder="1" applyAlignment="1">
      <alignment horizontal="right" vertical="center" wrapText="1"/>
    </xf>
    <xf numFmtId="0" fontId="8" fillId="15" borderId="6" xfId="0" applyNumberFormat="1" applyFont="1" applyFill="1" applyBorder="1" applyAlignment="1">
      <alignment horizontal="left" vertical="center" wrapText="1"/>
    </xf>
    <xf numFmtId="49" fontId="29" fillId="9" borderId="4" xfId="0" applyNumberFormat="1" applyFont="1" applyFill="1" applyBorder="1" applyAlignment="1">
      <alignment horizontal="center" vertical="center" wrapText="1"/>
    </xf>
    <xf numFmtId="49" fontId="60" fillId="13" borderId="5" xfId="0" applyNumberFormat="1" applyFont="1" applyFill="1" applyBorder="1" applyAlignment="1">
      <alignment vertical="center"/>
    </xf>
    <xf numFmtId="49" fontId="8" fillId="9" borderId="0" xfId="0" applyNumberFormat="1" applyFont="1" applyFill="1" applyAlignment="1">
      <alignment horizontal="center" vertical="center" wrapText="1"/>
    </xf>
    <xf numFmtId="0" fontId="8" fillId="9" borderId="0" xfId="0" applyNumberFormat="1" applyFont="1" applyFill="1" applyAlignment="1">
      <alignment horizontal="center" vertical="top" wrapText="1"/>
    </xf>
    <xf numFmtId="49" fontId="0" fillId="14" borderId="4" xfId="0" applyNumberFormat="1" applyFont="1" applyFill="1" applyBorder="1" applyAlignment="1" applyProtection="1">
      <alignment horizontal="left" vertical="center" wrapText="1" indent="1"/>
      <protection locked="0"/>
    </xf>
    <xf numFmtId="49" fontId="8" fillId="14" borderId="6" xfId="0" applyNumberFormat="1" applyFont="1" applyFill="1" applyBorder="1" applyAlignment="1" applyProtection="1">
      <alignment horizontal="left" vertical="center" wrapText="1"/>
      <protection locked="0"/>
    </xf>
    <xf numFmtId="14" fontId="8" fillId="15" borderId="15" xfId="0" applyNumberFormat="1" applyFont="1" applyFill="1" applyBorder="1" applyAlignment="1">
      <alignment horizontal="left" vertical="center" wrapText="1"/>
    </xf>
    <xf numFmtId="0" fontId="40" fillId="9" borderId="15" xfId="0" applyNumberFormat="1" applyFont="1" applyFill="1" applyBorder="1" applyAlignment="1">
      <alignment horizontal="center" vertical="center" wrapText="1"/>
    </xf>
    <xf numFmtId="0" fontId="30" fillId="9" borderId="16" xfId="0" applyNumberFormat="1" applyFont="1" applyFill="1" applyBorder="1" applyAlignment="1">
      <alignment vertical="top" wrapText="1"/>
    </xf>
    <xf numFmtId="0" fontId="30" fillId="9" borderId="0" xfId="0" applyNumberFormat="1" applyFont="1" applyFill="1" applyAlignment="1">
      <alignment vertical="top" wrapText="1"/>
    </xf>
    <xf numFmtId="0" fontId="33" fillId="13" borderId="7" xfId="0" applyNumberFormat="1" applyFont="1" applyFill="1" applyBorder="1" applyAlignment="1">
      <alignment vertical="center"/>
    </xf>
    <xf numFmtId="0" fontId="41" fillId="0" borderId="0" xfId="0" applyNumberFormat="1" applyFont="1" applyAlignment="1">
      <alignment vertical="center"/>
    </xf>
    <xf numFmtId="0" fontId="40" fillId="0" borderId="0" xfId="33" applyFont="1" applyAlignment="1">
      <alignment vertical="center" wrapText="1"/>
    </xf>
    <xf numFmtId="49" fontId="39" fillId="0" borderId="0" xfId="0" applyNumberFormat="1" applyFont="1">
      <alignment vertical="top"/>
    </xf>
    <xf numFmtId="0" fontId="78" fillId="0" borderId="0" xfId="33" applyFont="1" applyAlignment="1">
      <alignment vertical="center" wrapText="1"/>
    </xf>
    <xf numFmtId="0" fontId="86" fillId="0" borderId="0" xfId="33" applyFont="1" applyAlignment="1">
      <alignment vertical="center" wrapText="1"/>
    </xf>
    <xf numFmtId="0" fontId="39" fillId="0" borderId="0" xfId="33" applyFont="1" applyAlignment="1">
      <alignment vertical="center" wrapText="1"/>
    </xf>
    <xf numFmtId="0" fontId="78" fillId="0" borderId="0" xfId="33" applyFont="1" applyAlignment="1">
      <alignment horizontal="center" vertical="center" wrapText="1"/>
    </xf>
    <xf numFmtId="0" fontId="39" fillId="0" borderId="0" xfId="33" applyFont="1" applyAlignment="1">
      <alignment vertical="center" wrapText="1"/>
    </xf>
    <xf numFmtId="14" fontId="8" fillId="9" borderId="0" xfId="33" applyNumberFormat="1" applyFont="1" applyFill="1" applyAlignment="1">
      <alignment horizontal="left" vertical="center" wrapText="1"/>
    </xf>
    <xf numFmtId="49" fontId="0" fillId="0" borderId="4" xfId="0" applyNumberFormat="1" applyFont="1" applyBorder="1" applyAlignment="1">
      <alignment horizontal="left" vertical="center" wrapText="1"/>
    </xf>
    <xf numFmtId="49" fontId="0" fillId="6" borderId="4" xfId="0" applyNumberFormat="1" applyFont="1" applyFill="1" applyBorder="1" applyAlignment="1">
      <alignment horizontal="left" vertical="center" wrapText="1"/>
    </xf>
    <xf numFmtId="49" fontId="8" fillId="0" borderId="0" xfId="0" applyNumberFormat="1" applyFont="1" applyAlignment="1">
      <alignment vertical="center" wrapText="1"/>
    </xf>
    <xf numFmtId="0" fontId="0" fillId="0" borderId="4" xfId="0" applyNumberFormat="1" applyFont="1" applyBorder="1" applyAlignment="1">
      <alignment horizontal="left" vertical="center" wrapText="1" indent="1"/>
    </xf>
    <xf numFmtId="49" fontId="0" fillId="9" borderId="4" xfId="0" applyNumberFormat="1" applyFont="1" applyFill="1" applyBorder="1" applyAlignment="1">
      <alignment horizontal="center" vertical="center" wrapText="1"/>
    </xf>
    <xf numFmtId="0" fontId="0" fillId="9" borderId="4" xfId="0" applyNumberFormat="1" applyFont="1" applyFill="1" applyBorder="1" applyAlignment="1">
      <alignment horizontal="center" vertical="center" wrapText="1"/>
    </xf>
    <xf numFmtId="0" fontId="8" fillId="0" borderId="7" xfId="0" applyNumberFormat="1" applyFont="1" applyBorder="1" applyAlignment="1">
      <alignment horizontal="right" vertical="center" wrapText="1" indent="1"/>
    </xf>
    <xf numFmtId="0" fontId="8" fillId="0" borderId="5" xfId="0" applyNumberFormat="1" applyFont="1" applyBorder="1" applyAlignment="1">
      <alignment horizontal="right" vertical="center" wrapText="1" indent="1"/>
    </xf>
    <xf numFmtId="0" fontId="87" fillId="9" borderId="0" xfId="0" applyNumberFormat="1" applyFont="1" applyFill="1" applyAlignment="1">
      <alignment horizontal="right" vertical="center"/>
    </xf>
    <xf numFmtId="0" fontId="8" fillId="14" borderId="4" xfId="0" applyNumberFormat="1" applyFont="1" applyFill="1" applyBorder="1" applyAlignment="1" applyProtection="1">
      <alignment horizontal="center" vertical="center" wrapText="1"/>
      <protection locked="0"/>
    </xf>
    <xf numFmtId="49" fontId="85" fillId="0" borderId="5" xfId="0" applyNumberFormat="1" applyFont="1" applyBorder="1" applyAlignment="1">
      <alignment horizontal="left" vertical="top" wrapText="1"/>
    </xf>
    <xf numFmtId="49" fontId="85" fillId="0" borderId="6" xfId="0" applyNumberFormat="1" applyFont="1" applyBorder="1" applyAlignment="1">
      <alignment horizontal="left" vertical="top" wrapText="1"/>
    </xf>
    <xf numFmtId="0" fontId="85" fillId="0" borderId="9" xfId="0" applyNumberFormat="1" applyFont="1" applyBorder="1" applyAlignment="1">
      <alignment vertical="top" wrapText="1"/>
    </xf>
    <xf numFmtId="0" fontId="85" fillId="0" borderId="28" xfId="0" applyNumberFormat="1" applyFont="1" applyBorder="1" applyAlignment="1">
      <alignment horizontal="left" vertical="top" wrapText="1"/>
    </xf>
    <xf numFmtId="49" fontId="85" fillId="0" borderId="19" xfId="0" applyNumberFormat="1" applyFont="1" applyBorder="1" applyAlignment="1">
      <alignment horizontal="left" vertical="top" wrapText="1"/>
    </xf>
    <xf numFmtId="49" fontId="39" fillId="0" borderId="0" xfId="0" applyNumberFormat="1" applyFont="1" applyAlignment="1">
      <alignment horizontal="center" vertical="center" wrapText="1"/>
    </xf>
    <xf numFmtId="49" fontId="40" fillId="0" borderId="0" xfId="0" applyNumberFormat="1" applyFont="1" applyAlignment="1">
      <alignment horizontal="center" vertical="center" wrapText="1"/>
    </xf>
    <xf numFmtId="49" fontId="0" fillId="0" borderId="0" xfId="0" applyNumberFormat="1" applyFont="1">
      <alignment vertical="top"/>
    </xf>
    <xf numFmtId="0" fontId="8" fillId="0" borderId="4" xfId="0" applyNumberFormat="1" applyFont="1" applyBorder="1" applyAlignment="1">
      <alignment horizontal="left" vertical="center" wrapText="1"/>
    </xf>
    <xf numFmtId="49" fontId="85" fillId="0" borderId="4" xfId="0" applyNumberFormat="1" applyFont="1" applyBorder="1" applyAlignment="1">
      <alignment horizontal="center" vertical="top" wrapText="1"/>
    </xf>
    <xf numFmtId="0" fontId="85" fillId="7" borderId="4" xfId="0" applyNumberFormat="1" applyFont="1" applyFill="1" applyBorder="1" applyAlignment="1">
      <alignment horizontal="center" vertical="center" wrapText="1"/>
    </xf>
    <xf numFmtId="49" fontId="85" fillId="0" borderId="29" xfId="0" applyNumberFormat="1" applyFont="1" applyBorder="1" applyAlignment="1">
      <alignment horizontal="center" vertical="top" wrapText="1"/>
    </xf>
    <xf numFmtId="49" fontId="85" fillId="0" borderId="9" xfId="0" applyNumberFormat="1" applyFont="1" applyBorder="1" applyAlignment="1">
      <alignment horizontal="center" vertical="top" wrapText="1"/>
    </xf>
    <xf numFmtId="0" fontId="40" fillId="0" borderId="0" xfId="0" applyNumberFormat="1" applyFont="1" applyAlignment="1">
      <alignment horizontal="center" vertical="center" wrapText="1"/>
    </xf>
    <xf numFmtId="0" fontId="39" fillId="0" borderId="0" xfId="0" applyNumberFormat="1" applyFont="1" applyAlignment="1">
      <alignment horizontal="center" vertical="top"/>
    </xf>
    <xf numFmtId="49" fontId="33" fillId="13" borderId="6" xfId="0" applyNumberFormat="1" applyFont="1" applyFill="1" applyBorder="1" applyAlignment="1">
      <alignment horizontal="left" vertical="center" indent="1"/>
    </xf>
    <xf numFmtId="0" fontId="0" fillId="9" borderId="9" xfId="33" applyFont="1" applyFill="1" applyBorder="1" applyAlignment="1">
      <alignment horizontal="center" vertical="center" wrapText="1"/>
    </xf>
    <xf numFmtId="0" fontId="8" fillId="9" borderId="9" xfId="33" applyFont="1" applyFill="1" applyBorder="1" applyAlignment="1">
      <alignment horizontal="center" vertical="center" wrapText="1"/>
    </xf>
    <xf numFmtId="49" fontId="88" fillId="0" borderId="0" xfId="0" applyNumberFormat="1" applyFont="1" applyAlignment="1">
      <alignment horizontal="center" vertical="center" wrapText="1"/>
    </xf>
    <xf numFmtId="0" fontId="8" fillId="0" borderId="0" xfId="0" applyNumberFormat="1" applyFont="1" applyAlignment="1">
      <alignment vertical="center" wrapText="1"/>
    </xf>
    <xf numFmtId="49" fontId="8" fillId="0" borderId="0" xfId="0" applyNumberFormat="1" applyFont="1">
      <alignment vertical="top"/>
    </xf>
    <xf numFmtId="0" fontId="8" fillId="9" borderId="0" xfId="0" applyNumberFormat="1" applyFont="1" applyFill="1" applyAlignment="1">
      <alignment vertical="center" wrapText="1"/>
    </xf>
    <xf numFmtId="0" fontId="8" fillId="0" borderId="30" xfId="0" applyNumberFormat="1" applyFont="1" applyBorder="1" applyAlignment="1">
      <alignment vertical="center" wrapText="1"/>
    </xf>
    <xf numFmtId="0" fontId="39" fillId="0" borderId="0" xfId="0" applyNumberFormat="1" applyFont="1" applyAlignment="1">
      <alignment vertical="center" wrapText="1"/>
    </xf>
    <xf numFmtId="49" fontId="8" fillId="0" borderId="0" xfId="0" applyNumberFormat="1" applyFont="1">
      <alignment vertical="top"/>
    </xf>
    <xf numFmtId="0" fontId="8" fillId="9" borderId="0" xfId="0" applyNumberFormat="1" applyFont="1" applyFill="1" applyAlignment="1">
      <alignment vertical="center" wrapText="1"/>
    </xf>
    <xf numFmtId="49" fontId="8" fillId="0" borderId="0" xfId="0" applyNumberFormat="1" applyFont="1">
      <alignment vertical="top"/>
    </xf>
    <xf numFmtId="0" fontId="8" fillId="0" borderId="0" xfId="0" applyNumberFormat="1" applyFont="1" applyAlignment="1">
      <alignment vertical="center"/>
    </xf>
    <xf numFmtId="0" fontId="0" fillId="9" borderId="9" xfId="0" applyNumberFormat="1" applyFont="1" applyFill="1" applyBorder="1" applyAlignment="1">
      <alignment horizontal="center" vertical="center" wrapText="1"/>
    </xf>
    <xf numFmtId="0" fontId="0" fillId="9" borderId="29" xfId="0" applyNumberFormat="1" applyFont="1" applyFill="1" applyBorder="1" applyAlignment="1">
      <alignment horizontal="center" vertical="center" wrapText="1"/>
    </xf>
    <xf numFmtId="0" fontId="8" fillId="13" borderId="22" xfId="0" applyNumberFormat="1" applyFont="1" applyFill="1" applyBorder="1" applyAlignment="1">
      <alignment vertical="center" wrapText="1"/>
    </xf>
    <xf numFmtId="0" fontId="8" fillId="0" borderId="0" xfId="0" applyNumberFormat="1" applyFont="1" applyAlignment="1">
      <alignment vertical="center" wrapText="1"/>
    </xf>
    <xf numFmtId="0" fontId="8" fillId="9" borderId="31" xfId="0" applyNumberFormat="1" applyFont="1" applyFill="1" applyBorder="1" applyAlignment="1">
      <alignment vertical="center" wrapText="1"/>
    </xf>
    <xf numFmtId="0" fontId="19" fillId="9" borderId="31" xfId="0" applyNumberFormat="1" applyFont="1" applyFill="1" applyBorder="1" applyAlignment="1">
      <alignment horizontal="center" wrapText="1"/>
    </xf>
    <xf numFmtId="49" fontId="60" fillId="0" borderId="31" xfId="0" applyNumberFormat="1" applyFont="1" applyBorder="1">
      <alignment vertical="top"/>
    </xf>
    <xf numFmtId="49" fontId="89" fillId="0" borderId="0" xfId="0" applyNumberFormat="1" applyFont="1" applyAlignment="1">
      <alignment vertical="center"/>
    </xf>
    <xf numFmtId="49" fontId="38" fillId="0" borderId="0" xfId="0" applyNumberFormat="1" applyFont="1" applyAlignment="1">
      <alignment vertical="center"/>
    </xf>
    <xf numFmtId="49" fontId="38" fillId="0" borderId="0" xfId="0" applyNumberFormat="1" applyFont="1" applyAlignment="1">
      <alignment vertical="center"/>
    </xf>
    <xf numFmtId="49" fontId="89" fillId="0" borderId="0" xfId="0" applyNumberFormat="1" applyFont="1" applyAlignment="1">
      <alignment vertical="center" wrapText="1"/>
    </xf>
    <xf numFmtId="49" fontId="38" fillId="0" borderId="0" xfId="0" applyNumberFormat="1" applyFont="1" applyAlignment="1">
      <alignment vertical="center" wrapText="1"/>
    </xf>
    <xf numFmtId="49" fontId="38" fillId="0" borderId="0" xfId="0" applyNumberFormat="1" applyFont="1">
      <alignment vertical="top"/>
    </xf>
    <xf numFmtId="49" fontId="38" fillId="0" borderId="0" xfId="0" applyNumberFormat="1" applyFont="1" applyAlignment="1">
      <alignment vertical="center" wrapText="1"/>
    </xf>
    <xf numFmtId="49" fontId="89" fillId="0" borderId="0" xfId="0" applyNumberFormat="1" applyFont="1" applyAlignment="1">
      <alignment horizontal="center" vertical="center" wrapText="1"/>
    </xf>
    <xf numFmtId="49" fontId="38" fillId="0" borderId="0" xfId="0" applyNumberFormat="1" applyFont="1" applyAlignment="1">
      <alignment horizontal="center" vertical="center" wrapText="1"/>
    </xf>
    <xf numFmtId="49" fontId="89" fillId="0" borderId="0" xfId="0" applyNumberFormat="1" applyFont="1" applyAlignment="1">
      <alignment horizontal="center" vertical="center" wrapText="1"/>
    </xf>
    <xf numFmtId="0" fontId="38" fillId="0" borderId="0" xfId="0" applyNumberFormat="1" applyFont="1" applyAlignment="1">
      <alignment horizontal="center" vertical="center" wrapText="1"/>
    </xf>
    <xf numFmtId="49" fontId="38" fillId="9" borderId="0" xfId="0" applyNumberFormat="1" applyFont="1" applyFill="1" applyAlignment="1">
      <alignment vertical="center" wrapText="1"/>
    </xf>
    <xf numFmtId="49" fontId="38" fillId="0" borderId="0" xfId="0" applyNumberFormat="1" applyFont="1">
      <alignment vertical="top"/>
    </xf>
    <xf numFmtId="49" fontId="38" fillId="9" borderId="0" xfId="0" applyNumberFormat="1" applyFont="1" applyFill="1" applyAlignment="1">
      <alignment vertical="center"/>
    </xf>
    <xf numFmtId="49" fontId="89" fillId="0" borderId="0" xfId="0" applyNumberFormat="1" applyFont="1" applyAlignment="1">
      <alignment vertical="center"/>
    </xf>
    <xf numFmtId="49" fontId="38" fillId="0" borderId="0" xfId="0" applyNumberFormat="1" applyFont="1">
      <alignment vertical="top"/>
    </xf>
    <xf numFmtId="4" fontId="38" fillId="9" borderId="0" xfId="0" applyNumberFormat="1" applyFont="1" applyFill="1" applyAlignment="1">
      <alignment vertical="center"/>
    </xf>
    <xf numFmtId="3" fontId="38" fillId="6" borderId="4" xfId="0" applyNumberFormat="1" applyFont="1" applyFill="1" applyBorder="1" applyAlignment="1" applyProtection="1">
      <alignment horizontal="right" vertical="center"/>
      <protection locked="0"/>
    </xf>
    <xf numFmtId="49" fontId="25" fillId="0" borderId="0" xfId="0" applyNumberFormat="1" applyFont="1" applyAlignment="1">
      <alignment horizontal="center" vertical="center" wrapText="1"/>
    </xf>
    <xf numFmtId="49" fontId="8" fillId="9" borderId="0" xfId="0" applyNumberFormat="1" applyFont="1" applyFill="1" applyAlignment="1">
      <alignment horizontal="center" vertical="center" wrapText="1"/>
    </xf>
    <xf numFmtId="0" fontId="8" fillId="0" borderId="6" xfId="0" applyNumberFormat="1" applyFont="1" applyBorder="1" applyAlignment="1">
      <alignment horizontal="center" vertical="center" wrapText="1"/>
    </xf>
    <xf numFmtId="0" fontId="8" fillId="0" borderId="9" xfId="0" applyNumberFormat="1" applyFont="1" applyBorder="1" applyAlignment="1">
      <alignment horizontal="center" vertical="center" wrapText="1"/>
    </xf>
    <xf numFmtId="0" fontId="8" fillId="0" borderId="4" xfId="0" applyNumberFormat="1" applyFont="1" applyBorder="1" applyAlignment="1">
      <alignment horizontal="center" vertical="center" wrapText="1"/>
    </xf>
    <xf numFmtId="49" fontId="39" fillId="0" borderId="0" xfId="0" applyNumberFormat="1" applyFont="1" applyAlignment="1">
      <alignment horizontal="center" vertical="center" wrapText="1"/>
    </xf>
    <xf numFmtId="49" fontId="40" fillId="0" borderId="0" xfId="0" applyNumberFormat="1" applyFont="1" applyAlignment="1">
      <alignment horizontal="center" vertical="center" wrapText="1"/>
    </xf>
    <xf numFmtId="49" fontId="8" fillId="0" borderId="4" xfId="0" applyNumberFormat="1" applyFont="1" applyBorder="1" applyAlignment="1">
      <alignment horizontal="center" vertical="center" wrapText="1"/>
    </xf>
    <xf numFmtId="0" fontId="8" fillId="0" borderId="4" xfId="0" applyNumberFormat="1" applyFont="1" applyBorder="1" applyAlignment="1">
      <alignment horizontal="left" vertical="center" wrapText="1" indent="1"/>
    </xf>
    <xf numFmtId="0" fontId="30" fillId="0" borderId="0" xfId="0" applyNumberFormat="1" applyFont="1" applyAlignment="1">
      <alignment horizontal="center" vertical="center" wrapText="1"/>
    </xf>
    <xf numFmtId="49" fontId="81" fillId="0" borderId="4" xfId="0" applyNumberFormat="1" applyFont="1" applyBorder="1" applyAlignment="1">
      <alignment horizontal="center" vertical="center" wrapText="1"/>
    </xf>
    <xf numFmtId="0" fontId="81" fillId="0" borderId="4" xfId="0" applyNumberFormat="1" applyFont="1" applyBorder="1" applyAlignment="1">
      <alignment horizontal="center" vertical="center" wrapText="1"/>
    </xf>
    <xf numFmtId="49" fontId="81" fillId="0" borderId="9" xfId="0" applyNumberFormat="1" applyFont="1" applyBorder="1" applyAlignment="1">
      <alignment horizontal="center" vertical="center" wrapText="1"/>
    </xf>
    <xf numFmtId="49" fontId="81" fillId="0" borderId="15" xfId="0" applyNumberFormat="1" applyFont="1" applyBorder="1" applyAlignment="1">
      <alignment horizontal="center" vertical="center" wrapText="1"/>
    </xf>
    <xf numFmtId="0" fontId="81" fillId="0" borderId="9" xfId="0" applyNumberFormat="1" applyFont="1" applyBorder="1" applyAlignment="1">
      <alignment horizontal="center" vertical="center" wrapText="1"/>
    </xf>
    <xf numFmtId="49" fontId="85" fillId="0" borderId="14" xfId="0" applyNumberFormat="1" applyFont="1" applyBorder="1" applyAlignment="1">
      <alignment horizontal="center" vertical="top" wrapText="1"/>
    </xf>
    <xf numFmtId="49" fontId="85" fillId="0" borderId="28" xfId="0" applyNumberFormat="1" applyFont="1" applyBorder="1" applyAlignment="1">
      <alignment horizontal="left" vertical="top" wrapText="1"/>
    </xf>
    <xf numFmtId="0" fontId="81" fillId="0" borderId="4" xfId="0" applyNumberFormat="1" applyFont="1" applyBorder="1" applyAlignment="1">
      <alignment vertical="center" wrapText="1"/>
    </xf>
    <xf numFmtId="0" fontId="81" fillId="0" borderId="9" xfId="0" applyNumberFormat="1" applyFont="1" applyBorder="1" applyAlignment="1">
      <alignment vertical="center" wrapText="1"/>
    </xf>
    <xf numFmtId="0" fontId="81" fillId="0" borderId="15" xfId="0" applyNumberFormat="1" applyFont="1" applyBorder="1" applyAlignment="1">
      <alignment vertical="center" wrapText="1"/>
    </xf>
    <xf numFmtId="49" fontId="81" fillId="0" borderId="4" xfId="0" applyNumberFormat="1" applyFont="1" applyBorder="1" applyAlignment="1">
      <alignment horizontal="left" vertical="top" wrapText="1"/>
    </xf>
    <xf numFmtId="169" fontId="8" fillId="14" borderId="9" xfId="0" applyNumberFormat="1" applyFont="1" applyFill="1" applyBorder="1" applyAlignment="1" applyProtection="1">
      <alignment horizontal="right" vertical="center" wrapText="1"/>
      <protection locked="0"/>
    </xf>
    <xf numFmtId="0" fontId="8" fillId="0" borderId="5" xfId="0" applyNumberFormat="1" applyFont="1" applyBorder="1" applyAlignment="1">
      <alignment horizontal="center" vertical="center" wrapText="1"/>
    </xf>
    <xf numFmtId="0" fontId="8" fillId="0" borderId="12" xfId="0" applyNumberFormat="1" applyFont="1" applyBorder="1" applyAlignment="1">
      <alignment horizontal="center" vertical="center" wrapText="1"/>
    </xf>
    <xf numFmtId="49" fontId="8" fillId="13" borderId="29" xfId="0" applyNumberFormat="1" applyFont="1" applyFill="1" applyBorder="1" applyAlignment="1">
      <alignment vertical="center" wrapText="1"/>
    </xf>
    <xf numFmtId="49" fontId="33" fillId="13" borderId="11" xfId="0" applyNumberFormat="1" applyFont="1" applyFill="1" applyBorder="1" applyAlignment="1">
      <alignment horizontal="left" vertical="center" indent="1"/>
    </xf>
    <xf numFmtId="49" fontId="8" fillId="13" borderId="29" xfId="0" applyNumberFormat="1" applyFont="1" applyFill="1" applyBorder="1" applyAlignment="1">
      <alignment vertical="center" wrapText="1"/>
    </xf>
    <xf numFmtId="49" fontId="33" fillId="13" borderId="11" xfId="0" applyNumberFormat="1" applyFont="1" applyFill="1" applyBorder="1" applyAlignment="1">
      <alignment horizontal="left" vertical="center" indent="1"/>
    </xf>
    <xf numFmtId="0" fontId="63" fillId="0" borderId="0" xfId="0" applyNumberFormat="1" applyFont="1" applyAlignment="1">
      <alignment horizontal="center" vertical="center" wrapText="1"/>
    </xf>
    <xf numFmtId="4" fontId="8" fillId="14" borderId="5" xfId="0" applyNumberFormat="1" applyFont="1" applyFill="1" applyBorder="1" applyAlignment="1" applyProtection="1">
      <alignment horizontal="right" vertical="center" wrapText="1"/>
      <protection locked="0"/>
    </xf>
    <xf numFmtId="169" fontId="8" fillId="14" borderId="5" xfId="0" applyNumberFormat="1" applyFont="1" applyFill="1" applyBorder="1" applyAlignment="1" applyProtection="1">
      <alignment horizontal="right" vertical="center" wrapText="1"/>
      <protection locked="0"/>
    </xf>
    <xf numFmtId="169" fontId="8" fillId="11" borderId="5" xfId="0" applyNumberFormat="1" applyFont="1" applyFill="1" applyBorder="1" applyAlignment="1">
      <alignment horizontal="right" vertical="center" wrapText="1"/>
    </xf>
    <xf numFmtId="4" fontId="8" fillId="14" borderId="22" xfId="0" applyNumberFormat="1" applyFont="1" applyFill="1" applyBorder="1" applyAlignment="1" applyProtection="1">
      <alignment horizontal="right" vertical="center" wrapText="1"/>
      <protection locked="0"/>
    </xf>
    <xf numFmtId="49" fontId="81" fillId="7" borderId="4" xfId="0" applyNumberFormat="1" applyFont="1" applyFill="1" applyBorder="1" applyAlignment="1">
      <alignment horizontal="center" vertical="top"/>
    </xf>
    <xf numFmtId="49" fontId="81" fillId="0" borderId="4" xfId="0" applyNumberFormat="1" applyFont="1" applyBorder="1" applyAlignment="1">
      <alignment horizontal="center" vertical="top" wrapText="1"/>
    </xf>
    <xf numFmtId="49" fontId="81" fillId="0" borderId="4" xfId="0" applyNumberFormat="1" applyFont="1" applyBorder="1" applyAlignment="1">
      <alignment vertical="top" wrapText="1"/>
    </xf>
    <xf numFmtId="0" fontId="81" fillId="0" borderId="4" xfId="0" applyNumberFormat="1" applyFont="1" applyBorder="1" applyAlignment="1">
      <alignment vertical="top" wrapText="1"/>
    </xf>
    <xf numFmtId="49" fontId="81" fillId="0" borderId="4" xfId="0" applyNumberFormat="1" applyFont="1" applyBorder="1">
      <alignment vertical="top"/>
    </xf>
    <xf numFmtId="49" fontId="85" fillId="0" borderId="4" xfId="0" applyNumberFormat="1" applyFont="1" applyBorder="1">
      <alignment vertical="top"/>
    </xf>
    <xf numFmtId="49" fontId="81" fillId="0" borderId="0" xfId="0" applyNumberFormat="1" applyFont="1" applyAlignment="1">
      <alignment horizontal="center" vertical="center" wrapText="1"/>
    </xf>
    <xf numFmtId="49" fontId="81" fillId="0" borderId="0" xfId="0" applyNumberFormat="1" applyFont="1" applyAlignment="1">
      <alignment horizontal="left" vertical="center" wrapText="1"/>
    </xf>
    <xf numFmtId="49" fontId="81" fillId="20" borderId="0" xfId="0" applyNumberFormat="1" applyFont="1" applyFill="1" applyAlignment="1">
      <alignment horizontal="center" vertical="center" wrapText="1"/>
    </xf>
    <xf numFmtId="0" fontId="81" fillId="0" borderId="0" xfId="0" applyNumberFormat="1" applyFont="1" applyAlignment="1">
      <alignment vertical="center" wrapText="1"/>
    </xf>
    <xf numFmtId="0" fontId="40" fillId="0" borderId="4" xfId="0" applyNumberFormat="1" applyFont="1" applyBorder="1" applyAlignment="1">
      <alignment horizontal="left" vertical="center" wrapText="1" indent="3"/>
    </xf>
    <xf numFmtId="49" fontId="40" fillId="0" borderId="4" xfId="0" applyNumberFormat="1" applyFont="1" applyBorder="1" applyAlignment="1">
      <alignment vertical="center" wrapText="1"/>
    </xf>
    <xf numFmtId="0" fontId="40" fillId="0" borderId="9" xfId="0" applyNumberFormat="1" applyFont="1" applyBorder="1" applyAlignment="1">
      <alignment vertical="top" wrapText="1"/>
    </xf>
    <xf numFmtId="0" fontId="40" fillId="0" borderId="28" xfId="0" applyNumberFormat="1" applyFont="1" applyBorder="1" applyAlignment="1">
      <alignment horizontal="left" vertical="center" wrapText="1" indent="1"/>
    </xf>
    <xf numFmtId="0" fontId="40" fillId="0" borderId="28" xfId="0" applyNumberFormat="1" applyFont="1" applyBorder="1" applyAlignment="1">
      <alignment horizontal="center" vertical="center" wrapText="1"/>
    </xf>
    <xf numFmtId="0" fontId="40" fillId="0" borderId="9" xfId="0" applyNumberFormat="1" applyFont="1" applyBorder="1" applyAlignment="1">
      <alignment vertical="center" wrapText="1"/>
    </xf>
    <xf numFmtId="0" fontId="40" fillId="0" borderId="15" xfId="0" applyNumberFormat="1" applyFont="1" applyBorder="1" applyAlignment="1">
      <alignment horizontal="left" vertical="center" wrapText="1" indent="1"/>
    </xf>
    <xf numFmtId="0" fontId="40" fillId="0" borderId="9" xfId="0" applyNumberFormat="1" applyFont="1" applyBorder="1" applyAlignment="1">
      <alignment horizontal="left" vertical="center" wrapText="1" indent="1"/>
    </xf>
    <xf numFmtId="49" fontId="85" fillId="7" borderId="4" xfId="0" applyNumberFormat="1" applyFont="1" applyFill="1" applyBorder="1" applyAlignment="1">
      <alignment horizontal="center" vertical="top" wrapText="1"/>
    </xf>
    <xf numFmtId="49" fontId="85" fillId="7" borderId="4" xfId="0" applyNumberFormat="1" applyFont="1" applyFill="1" applyBorder="1" applyAlignment="1">
      <alignment horizontal="left" vertical="top" wrapText="1"/>
    </xf>
    <xf numFmtId="0" fontId="81" fillId="0" borderId="6" xfId="0" applyNumberFormat="1" applyFont="1" applyBorder="1" applyAlignment="1">
      <alignment horizontal="center" vertical="center" wrapText="1"/>
    </xf>
    <xf numFmtId="0" fontId="8" fillId="0" borderId="15" xfId="0" applyNumberFormat="1" applyFont="1" applyBorder="1" applyAlignment="1">
      <alignment vertical="top" wrapText="1"/>
    </xf>
    <xf numFmtId="0" fontId="8" fillId="0" borderId="15" xfId="0" applyNumberFormat="1" applyFont="1" applyBorder="1" applyAlignment="1">
      <alignment vertical="top" wrapText="1"/>
    </xf>
    <xf numFmtId="0" fontId="81" fillId="0" borderId="6" xfId="0" applyNumberFormat="1" applyFont="1" applyBorder="1" applyAlignment="1">
      <alignment horizontal="center" vertical="center"/>
    </xf>
    <xf numFmtId="49" fontId="40" fillId="9" borderId="4" xfId="34" applyNumberFormat="1" applyFont="1" applyFill="1" applyBorder="1" applyAlignment="1">
      <alignment horizontal="center" vertical="center"/>
    </xf>
    <xf numFmtId="0" fontId="40" fillId="9" borderId="4" xfId="0" applyNumberFormat="1" applyFont="1" applyFill="1" applyBorder="1" applyAlignment="1">
      <alignment horizontal="left" vertical="center" wrapText="1" indent="1"/>
    </xf>
    <xf numFmtId="0" fontId="40" fillId="9" borderId="4" xfId="0" applyNumberFormat="1" applyFont="1" applyFill="1" applyBorder="1" applyAlignment="1">
      <alignment vertical="center" wrapText="1"/>
    </xf>
    <xf numFmtId="49" fontId="40" fillId="0" borderId="4" xfId="34" applyNumberFormat="1" applyFont="1" applyBorder="1" applyAlignment="1">
      <alignment horizontal="center" vertical="center"/>
    </xf>
    <xf numFmtId="0" fontId="40" fillId="0" borderId="4" xfId="0" applyNumberFormat="1" applyFont="1" applyBorder="1" applyAlignment="1">
      <alignment horizontal="left" vertical="center" wrapText="1" indent="1"/>
    </xf>
    <xf numFmtId="0" fontId="40" fillId="0" borderId="4" xfId="0" applyNumberFormat="1" applyFont="1" applyBorder="1" applyAlignment="1">
      <alignment horizontal="left" vertical="center" wrapText="1"/>
    </xf>
    <xf numFmtId="0" fontId="40" fillId="0" borderId="4" xfId="0" applyNumberFormat="1" applyFont="1" applyBorder="1" applyAlignment="1">
      <alignment vertical="center" wrapText="1"/>
    </xf>
    <xf numFmtId="0" fontId="40" fillId="0" borderId="4" xfId="0" applyNumberFormat="1" applyFont="1" applyBorder="1" applyAlignment="1">
      <alignment horizontal="center" vertical="center" wrapText="1"/>
    </xf>
    <xf numFmtId="0" fontId="40" fillId="9" borderId="4" xfId="0" applyNumberFormat="1" applyFont="1" applyFill="1" applyBorder="1" applyAlignment="1">
      <alignment horizontal="left" vertical="center" wrapText="1" indent="2"/>
    </xf>
    <xf numFmtId="49" fontId="40" fillId="0" borderId="4" xfId="0" applyNumberFormat="1" applyFont="1" applyBorder="1" applyAlignment="1">
      <alignment horizontal="left" vertical="center" wrapText="1"/>
    </xf>
    <xf numFmtId="2" fontId="8" fillId="0" borderId="15" xfId="0" applyNumberFormat="1" applyFont="1" applyBorder="1" applyAlignment="1">
      <alignment horizontal="center" vertical="center" wrapText="1"/>
    </xf>
    <xf numFmtId="0" fontId="90" fillId="0" borderId="0" xfId="0" applyNumberFormat="1" applyFont="1" applyAlignment="1">
      <alignment horizontal="center" vertical="center" wrapText="1"/>
    </xf>
    <xf numFmtId="0" fontId="91" fillId="9" borderId="0" xfId="0" applyNumberFormat="1" applyFont="1" applyFill="1" applyAlignment="1">
      <alignment horizontal="right" vertical="center"/>
    </xf>
    <xf numFmtId="0" fontId="8" fillId="0" borderId="15" xfId="0" applyNumberFormat="1" applyFont="1" applyBorder="1" applyAlignment="1">
      <alignment horizontal="left" vertical="center" wrapText="1"/>
    </xf>
    <xf numFmtId="0" fontId="40" fillId="0" borderId="0" xfId="0" applyNumberFormat="1" applyFont="1" applyAlignment="1">
      <alignment horizontal="center" vertical="center" wrapText="1"/>
    </xf>
    <xf numFmtId="0" fontId="8" fillId="0" borderId="4" xfId="0" applyNumberFormat="1" applyFont="1" applyBorder="1" applyAlignment="1">
      <alignment horizontal="left" vertical="center" wrapText="1"/>
    </xf>
    <xf numFmtId="49" fontId="39" fillId="0" borderId="0" xfId="0" applyNumberFormat="1" applyFont="1" applyAlignment="1">
      <alignment horizontal="center" vertical="center" wrapText="1"/>
    </xf>
    <xf numFmtId="0" fontId="40" fillId="0" borderId="20" xfId="0" applyNumberFormat="1" applyFont="1" applyBorder="1" applyAlignment="1">
      <alignment vertical="center" wrapText="1"/>
    </xf>
    <xf numFmtId="49" fontId="13" fillId="0" borderId="6" xfId="0" applyNumberFormat="1" applyFont="1" applyBorder="1" applyAlignment="1">
      <alignment horizontal="left" vertical="center" wrapText="1"/>
    </xf>
    <xf numFmtId="49" fontId="13" fillId="0" borderId="7" xfId="0" applyNumberFormat="1" applyFont="1" applyBorder="1" applyAlignment="1">
      <alignment horizontal="left" vertical="center" wrapText="1"/>
    </xf>
    <xf numFmtId="49" fontId="40" fillId="0" borderId="0" xfId="0" applyNumberFormat="1" applyFont="1" applyAlignment="1">
      <alignment horizontal="center" vertical="center" wrapText="1"/>
    </xf>
    <xf numFmtId="0" fontId="40" fillId="0" borderId="0" xfId="0" applyNumberFormat="1" applyFont="1" applyAlignment="1">
      <alignment horizontal="center" vertical="center" wrapText="1"/>
    </xf>
    <xf numFmtId="4" fontId="8" fillId="0" borderId="9" xfId="0" applyNumberFormat="1" applyFont="1" applyBorder="1" applyAlignment="1">
      <alignment horizontal="center" vertical="center" wrapText="1"/>
    </xf>
    <xf numFmtId="4" fontId="8" fillId="0" borderId="24" xfId="0" applyNumberFormat="1" applyFont="1" applyBorder="1" applyAlignment="1">
      <alignment horizontal="center" vertical="center" wrapText="1"/>
    </xf>
    <xf numFmtId="49" fontId="13" fillId="0" borderId="29" xfId="0" applyNumberFormat="1" applyFont="1" applyBorder="1" applyAlignment="1">
      <alignment horizontal="left" vertical="center" wrapText="1"/>
    </xf>
    <xf numFmtId="49" fontId="13" fillId="0" borderId="19" xfId="0" applyNumberFormat="1" applyFont="1" applyBorder="1" applyAlignment="1">
      <alignment horizontal="left" vertical="center" wrapText="1"/>
    </xf>
    <xf numFmtId="0" fontId="8" fillId="0" borderId="28" xfId="0" applyNumberFormat="1" applyFont="1" applyBorder="1" applyAlignment="1">
      <alignment vertical="center" wrapText="1"/>
    </xf>
    <xf numFmtId="0" fontId="8" fillId="0" borderId="24" xfId="0" applyNumberFormat="1" applyFont="1" applyBorder="1" applyAlignment="1">
      <alignment horizontal="left" vertical="center" wrapText="1"/>
    </xf>
    <xf numFmtId="49" fontId="39" fillId="0" borderId="0" xfId="0" applyNumberFormat="1" applyFont="1" applyAlignment="1">
      <alignment horizontal="center" vertical="center" wrapText="1"/>
    </xf>
    <xf numFmtId="0" fontId="8" fillId="0" borderId="0" xfId="0" applyNumberFormat="1" applyFont="1" applyAlignment="1">
      <alignment vertical="top" wrapText="1"/>
    </xf>
    <xf numFmtId="0" fontId="8" fillId="0" borderId="0" xfId="0" applyNumberFormat="1" applyFont="1">
      <alignment vertical="top"/>
    </xf>
    <xf numFmtId="4" fontId="8" fillId="0" borderId="32" xfId="0" applyNumberFormat="1" applyFont="1" applyBorder="1" applyAlignment="1">
      <alignment horizontal="center" vertical="center" wrapText="1"/>
    </xf>
    <xf numFmtId="0" fontId="40" fillId="0" borderId="0" xfId="0" applyNumberFormat="1" applyFont="1" applyAlignment="1">
      <alignment horizontal="center" vertical="top"/>
    </xf>
    <xf numFmtId="49" fontId="40" fillId="0" borderId="0" xfId="0" applyNumberFormat="1" applyFont="1">
      <alignment vertical="top"/>
    </xf>
    <xf numFmtId="0" fontId="40" fillId="0" borderId="4" xfId="0" applyNumberFormat="1" applyFont="1" applyBorder="1" applyAlignment="1">
      <alignment horizontal="left" vertical="center" wrapText="1"/>
    </xf>
    <xf numFmtId="49" fontId="33" fillId="0" borderId="11" xfId="0" applyNumberFormat="1" applyFont="1" applyBorder="1" applyAlignment="1">
      <alignment horizontal="right" vertical="center"/>
    </xf>
    <xf numFmtId="0" fontId="8" fillId="15" borderId="4" xfId="0" applyNumberFormat="1" applyFont="1" applyFill="1" applyBorder="1" applyAlignment="1">
      <alignment horizontal="left" vertical="center" wrapText="1" indent="1"/>
    </xf>
    <xf numFmtId="0" fontId="8" fillId="0" borderId="4" xfId="0" applyNumberFormat="1" applyFont="1" applyBorder="1" applyAlignment="1">
      <alignment horizontal="center" vertical="center" wrapText="1"/>
    </xf>
    <xf numFmtId="0" fontId="40" fillId="0" borderId="0" xfId="0" applyNumberFormat="1" applyFont="1" applyAlignment="1">
      <alignment horizontal="center" vertical="center" wrapText="1"/>
    </xf>
    <xf numFmtId="49" fontId="39" fillId="0" borderId="0" xfId="0" applyNumberFormat="1" applyFont="1" applyAlignment="1">
      <alignment horizontal="center" vertical="center" wrapText="1"/>
    </xf>
    <xf numFmtId="49" fontId="40" fillId="0" borderId="0" xfId="0" applyNumberFormat="1" applyFont="1" applyAlignment="1">
      <alignment horizontal="center" vertical="center" wrapText="1"/>
    </xf>
    <xf numFmtId="0" fontId="51" fillId="9" borderId="0" xfId="33" applyFont="1" applyFill="1" applyAlignment="1">
      <alignment horizontal="left" vertical="center" wrapText="1" indent="1"/>
    </xf>
    <xf numFmtId="49" fontId="0" fillId="0" borderId="1" xfId="0" applyNumberFormat="1" applyFont="1" applyBorder="1" applyAlignment="1">
      <alignment horizontal="left" vertical="center" wrapText="1" indent="1"/>
    </xf>
    <xf numFmtId="0" fontId="8" fillId="0" borderId="0" xfId="33" applyFont="1" applyAlignment="1">
      <alignment horizontal="left" vertical="center" wrapText="1" indent="1"/>
    </xf>
    <xf numFmtId="49" fontId="13" fillId="6" borderId="5" xfId="0" applyNumberFormat="1" applyFont="1" applyFill="1" applyBorder="1" applyAlignment="1" applyProtection="1">
      <alignment horizontal="left" vertical="center" wrapText="1"/>
      <protection locked="0"/>
    </xf>
    <xf numFmtId="49" fontId="8" fillId="0" borderId="0" xfId="0" applyNumberFormat="1" applyFont="1" applyAlignment="1">
      <alignment horizontal="center" vertical="center" wrapText="1"/>
    </xf>
    <xf numFmtId="0" fontId="8" fillId="0" borderId="11" xfId="0" applyNumberFormat="1" applyFont="1" applyBorder="1" applyAlignment="1">
      <alignment vertical="center" wrapText="1"/>
    </xf>
    <xf numFmtId="0" fontId="8" fillId="0" borderId="20" xfId="0" applyNumberFormat="1" applyFont="1" applyBorder="1" applyAlignment="1">
      <alignment vertical="center" wrapText="1"/>
    </xf>
    <xf numFmtId="49" fontId="8" fillId="13" borderId="33" xfId="0" applyNumberFormat="1" applyFont="1" applyFill="1" applyBorder="1" applyAlignment="1">
      <alignment horizontal="center" vertical="center" wrapText="1"/>
    </xf>
    <xf numFmtId="49" fontId="19" fillId="13" borderId="34" xfId="0" applyNumberFormat="1" applyFont="1" applyFill="1" applyBorder="1" applyAlignment="1">
      <alignment horizontal="right" vertical="center" wrapText="1"/>
    </xf>
    <xf numFmtId="49" fontId="19" fillId="13" borderId="35" xfId="0" applyNumberFormat="1" applyFont="1" applyFill="1" applyBorder="1" applyAlignment="1">
      <alignment horizontal="right" vertical="center" wrapText="1"/>
    </xf>
    <xf numFmtId="49" fontId="38" fillId="0" borderId="0" xfId="0" applyNumberFormat="1" applyFont="1">
      <alignment vertical="top"/>
    </xf>
    <xf numFmtId="0" fontId="38" fillId="0" borderId="0" xfId="0" applyNumberFormat="1" applyFont="1" applyAlignment="1">
      <alignment vertical="center" wrapText="1"/>
    </xf>
    <xf numFmtId="49" fontId="84" fillId="0" borderId="0" xfId="0" applyNumberFormat="1" applyFont="1" applyAlignment="1">
      <alignment vertical="center" wrapText="1"/>
    </xf>
    <xf numFmtId="49" fontId="25" fillId="21" borderId="0" xfId="0" applyNumberFormat="1" applyFont="1" applyFill="1" applyAlignment="1">
      <alignment horizontal="center" vertical="center"/>
    </xf>
    <xf numFmtId="0" fontId="0" fillId="22" borderId="0" xfId="0" applyNumberFormat="1" applyFont="1" applyFill="1" applyAlignment="1">
      <alignment horizontal="left" vertical="center"/>
    </xf>
    <xf numFmtId="0" fontId="0" fillId="23" borderId="4" xfId="0" applyNumberFormat="1" applyFont="1" applyFill="1" applyBorder="1" applyAlignment="1">
      <alignment horizontal="center" vertical="center"/>
    </xf>
    <xf numFmtId="49" fontId="0" fillId="0" borderId="0" xfId="0" applyNumberFormat="1" applyFont="1" applyAlignment="1">
      <alignment vertical="center"/>
    </xf>
    <xf numFmtId="49" fontId="39" fillId="21" borderId="4" xfId="0" applyNumberFormat="1" applyFont="1" applyFill="1" applyBorder="1" applyAlignment="1">
      <alignment horizontal="center" vertical="center"/>
    </xf>
    <xf numFmtId="49" fontId="39" fillId="24" borderId="4" xfId="0" applyNumberFormat="1" applyFont="1" applyFill="1" applyBorder="1" applyAlignment="1">
      <alignment horizontal="center" vertical="center"/>
    </xf>
    <xf numFmtId="49" fontId="0" fillId="25" borderId="4" xfId="0" applyNumberFormat="1" applyFont="1" applyFill="1" applyBorder="1" applyAlignment="1">
      <alignment horizontal="center" vertical="center"/>
    </xf>
    <xf numFmtId="49" fontId="8" fillId="0" borderId="0" xfId="0" applyNumberFormat="1" applyFont="1">
      <alignment vertical="top"/>
    </xf>
    <xf numFmtId="0" fontId="8" fillId="0" borderId="4" xfId="0" applyNumberFormat="1" applyFont="1" applyBorder="1" applyAlignment="1">
      <alignment vertical="center"/>
    </xf>
    <xf numFmtId="0" fontId="0" fillId="0" borderId="4" xfId="0" applyNumberFormat="1" applyFont="1" applyBorder="1" applyAlignment="1">
      <alignment vertical="center"/>
    </xf>
    <xf numFmtId="0" fontId="0" fillId="0" borderId="4" xfId="0" applyNumberFormat="1" applyFont="1" applyBorder="1" applyAlignment="1">
      <alignment vertical="center"/>
    </xf>
    <xf numFmtId="0" fontId="0" fillId="0" borderId="6" xfId="0" applyNumberFormat="1" applyFont="1" applyBorder="1" applyAlignment="1">
      <alignment vertical="center"/>
    </xf>
    <xf numFmtId="0" fontId="0" fillId="0" borderId="6" xfId="0" applyNumberFormat="1" applyFont="1" applyBorder="1" applyAlignment="1">
      <alignment vertical="center"/>
    </xf>
    <xf numFmtId="49" fontId="8" fillId="0" borderId="36" xfId="0" applyNumberFormat="1" applyFont="1" applyBorder="1" applyAlignment="1">
      <alignment vertical="center"/>
    </xf>
    <xf numFmtId="49" fontId="8" fillId="0" borderId="37" xfId="0" applyNumberFormat="1" applyFont="1" applyBorder="1">
      <alignment vertical="top"/>
    </xf>
    <xf numFmtId="0" fontId="0" fillId="0" borderId="5" xfId="0" applyNumberFormat="1" applyFont="1" applyBorder="1" applyAlignment="1">
      <alignment vertical="center"/>
    </xf>
    <xf numFmtId="0" fontId="0" fillId="0" borderId="4" xfId="0" applyNumberFormat="1" applyFont="1" applyBorder="1" applyAlignment="1">
      <alignment horizontal="right" vertical="top"/>
    </xf>
    <xf numFmtId="0" fontId="0" fillId="0" borderId="4" xfId="0" applyNumberFormat="1" applyFont="1" applyBorder="1">
      <alignment vertical="top"/>
    </xf>
    <xf numFmtId="0" fontId="8" fillId="0" borderId="5" xfId="0" applyNumberFormat="1" applyFont="1" applyBorder="1" applyAlignment="1">
      <alignment vertical="center"/>
    </xf>
    <xf numFmtId="49" fontId="8" fillId="0" borderId="4" xfId="0" applyNumberFormat="1" applyFont="1" applyBorder="1" applyAlignment="1">
      <alignment vertical="center"/>
    </xf>
    <xf numFmtId="0" fontId="0" fillId="0" borderId="0" xfId="0" applyNumberFormat="1" applyFont="1">
      <alignment vertical="top"/>
    </xf>
    <xf numFmtId="0" fontId="8" fillId="0" borderId="4" xfId="0" applyNumberFormat="1" applyFont="1" applyBorder="1">
      <alignment vertical="top"/>
    </xf>
    <xf numFmtId="49" fontId="8" fillId="0" borderId="4" xfId="0" applyNumberFormat="1" applyFont="1" applyBorder="1">
      <alignment vertical="top"/>
    </xf>
    <xf numFmtId="0" fontId="8" fillId="0" borderId="0" xfId="0" applyNumberFormat="1" applyFont="1" applyAlignment="1">
      <alignment vertical="center"/>
    </xf>
    <xf numFmtId="49" fontId="8" fillId="0" borderId="6" xfId="0" applyNumberFormat="1" applyFont="1" applyBorder="1">
      <alignment vertical="top"/>
    </xf>
    <xf numFmtId="0" fontId="0" fillId="0" borderId="0" xfId="0" applyNumberFormat="1" applyFont="1" applyAlignment="1">
      <alignment vertical="center"/>
    </xf>
    <xf numFmtId="0" fontId="8" fillId="0" borderId="0" xfId="0" applyNumberFormat="1" applyFont="1">
      <alignment vertical="top"/>
    </xf>
    <xf numFmtId="49" fontId="8" fillId="0" borderId="4" xfId="0" applyNumberFormat="1" applyFont="1" applyBorder="1">
      <alignment vertical="top"/>
    </xf>
    <xf numFmtId="49" fontId="0" fillId="0" borderId="6" xfId="0" applyNumberFormat="1" applyFont="1" applyBorder="1">
      <alignment vertical="top"/>
    </xf>
    <xf numFmtId="0" fontId="0" fillId="0" borderId="9" xfId="0" applyNumberFormat="1" applyFont="1" applyBorder="1">
      <alignment vertical="top"/>
    </xf>
    <xf numFmtId="0" fontId="8" fillId="0" borderId="9" xfId="0" applyNumberFormat="1" applyFont="1" applyBorder="1" applyAlignment="1">
      <alignment vertical="center"/>
    </xf>
    <xf numFmtId="49" fontId="8" fillId="0" borderId="23" xfId="0" applyNumberFormat="1" applyFont="1" applyBorder="1" applyAlignment="1">
      <alignment horizontal="center" vertical="center"/>
    </xf>
    <xf numFmtId="49" fontId="8" fillId="0" borderId="0" xfId="0" applyNumberFormat="1" applyFont="1">
      <alignment vertical="top"/>
    </xf>
    <xf numFmtId="49" fontId="0" fillId="6" borderId="23" xfId="0" applyNumberFormat="1" applyFont="1" applyFill="1" applyBorder="1" applyAlignment="1" applyProtection="1">
      <alignment horizontal="left" vertical="center"/>
      <protection locked="0"/>
    </xf>
    <xf numFmtId="49" fontId="0" fillId="0" borderId="4" xfId="0" applyNumberFormat="1" applyFont="1" applyBorder="1" applyAlignment="1">
      <alignment horizontal="center" vertical="center"/>
    </xf>
    <xf numFmtId="49" fontId="0" fillId="0" borderId="23" xfId="0" applyNumberFormat="1" applyFont="1" applyBorder="1" applyAlignment="1">
      <alignment horizontal="right" vertical="center"/>
    </xf>
    <xf numFmtId="0" fontId="0" fillId="11" borderId="23" xfId="0" applyNumberFormat="1" applyFont="1" applyFill="1" applyBorder="1" applyAlignment="1">
      <alignment horizontal="center" vertical="center"/>
    </xf>
    <xf numFmtId="49" fontId="0" fillId="0" borderId="23"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92" fillId="0" borderId="38" xfId="0" applyNumberFormat="1" applyFont="1" applyBorder="1" applyAlignment="1">
      <alignment horizontal="center" vertical="center"/>
    </xf>
    <xf numFmtId="0" fontId="0" fillId="0" borderId="38" xfId="0" applyNumberFormat="1" applyFont="1" applyBorder="1" applyAlignment="1">
      <alignment horizontal="center" vertical="center"/>
    </xf>
    <xf numFmtId="49" fontId="25" fillId="21" borderId="4" xfId="0" applyNumberFormat="1" applyFont="1" applyFill="1" applyBorder="1" applyAlignment="1">
      <alignment horizontal="right" vertical="center"/>
    </xf>
    <xf numFmtId="49" fontId="8" fillId="6" borderId="29" xfId="0" applyNumberFormat="1" applyFont="1" applyFill="1" applyBorder="1" applyProtection="1">
      <alignment vertical="top"/>
      <protection locked="0"/>
    </xf>
    <xf numFmtId="0" fontId="8" fillId="0" borderId="4" xfId="0" applyNumberFormat="1" applyFont="1" applyBorder="1">
      <alignment vertical="top"/>
    </xf>
    <xf numFmtId="49" fontId="8" fillId="7" borderId="15" xfId="0" applyNumberFormat="1" applyFont="1" applyFill="1" applyBorder="1">
      <alignment vertical="top"/>
    </xf>
    <xf numFmtId="49" fontId="8" fillId="7" borderId="4" xfId="0" applyNumberFormat="1" applyFont="1" applyFill="1" applyBorder="1">
      <alignment vertical="top"/>
    </xf>
    <xf numFmtId="0" fontId="0" fillId="0" borderId="24" xfId="0" applyNumberFormat="1" applyFont="1" applyBorder="1" applyAlignment="1">
      <alignment horizontal="center" vertical="center"/>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25" fillId="21" borderId="6" xfId="0" applyNumberFormat="1" applyFont="1" applyFill="1" applyBorder="1" applyAlignment="1">
      <alignment horizontal="right" vertical="center"/>
    </xf>
    <xf numFmtId="0" fontId="0" fillId="22" borderId="0" xfId="0" applyNumberFormat="1" applyFont="1" applyFill="1" applyAlignment="1">
      <alignment horizontal="right" vertical="center"/>
    </xf>
    <xf numFmtId="0" fontId="8" fillId="9" borderId="0" xfId="0" applyNumberFormat="1" applyFont="1" applyFill="1" applyAlignment="1">
      <alignment vertical="center" wrapText="1"/>
    </xf>
    <xf numFmtId="0" fontId="25" fillId="0" borderId="0" xfId="0" applyNumberFormat="1" applyFont="1" applyAlignment="1">
      <alignment vertical="center" wrapText="1"/>
    </xf>
    <xf numFmtId="49" fontId="8" fillId="0" borderId="0" xfId="0" applyNumberFormat="1" applyFont="1">
      <alignment vertical="top"/>
    </xf>
    <xf numFmtId="0" fontId="39" fillId="0" borderId="0" xfId="0" applyNumberFormat="1" applyFont="1" applyAlignment="1">
      <alignment vertical="center" wrapText="1"/>
    </xf>
    <xf numFmtId="49" fontId="88" fillId="0" borderId="0" xfId="0" applyNumberFormat="1" applyFont="1" applyAlignment="1">
      <alignment horizontal="center" vertical="center" wrapText="1"/>
    </xf>
    <xf numFmtId="0" fontId="8" fillId="9" borderId="0" xfId="0" applyNumberFormat="1" applyFont="1" applyFill="1" applyAlignment="1">
      <alignment vertical="center" wrapText="1"/>
    </xf>
    <xf numFmtId="0" fontId="8" fillId="0" borderId="0" xfId="0" applyNumberFormat="1" applyFont="1" applyAlignment="1">
      <alignment vertical="center" wrapText="1"/>
    </xf>
    <xf numFmtId="0" fontId="19" fillId="9" borderId="31" xfId="0" applyNumberFormat="1" applyFont="1" applyFill="1" applyBorder="1" applyAlignment="1">
      <alignment horizontal="center" wrapText="1"/>
    </xf>
    <xf numFmtId="49" fontId="60" fillId="0" borderId="31" xfId="0" applyNumberFormat="1" applyFont="1" applyBorder="1">
      <alignment vertical="top"/>
    </xf>
    <xf numFmtId="0" fontId="0" fillId="0" borderId="4" xfId="0" applyNumberFormat="1" applyFont="1" applyBorder="1" applyAlignment="1">
      <alignment horizontal="center" vertical="center" wrapText="1"/>
    </xf>
    <xf numFmtId="0" fontId="8" fillId="0" borderId="0" xfId="0" applyNumberFormat="1" applyFont="1" applyAlignment="1">
      <alignment horizontal="left" vertical="center" wrapText="1" indent="3"/>
    </xf>
    <xf numFmtId="0" fontId="8" fillId="0" borderId="0" xfId="0" applyNumberFormat="1" applyFont="1" applyAlignment="1">
      <alignment horizontal="left" vertical="center" wrapText="1" indent="3"/>
    </xf>
    <xf numFmtId="0" fontId="25" fillId="0" borderId="0" xfId="0" applyNumberFormat="1" applyFont="1" applyAlignment="1">
      <alignment vertical="center" wrapText="1"/>
    </xf>
    <xf numFmtId="49" fontId="8" fillId="0" borderId="0" xfId="0" applyNumberFormat="1" applyFont="1">
      <alignment vertical="top"/>
    </xf>
    <xf numFmtId="0" fontId="39" fillId="0" borderId="0" xfId="0" applyNumberFormat="1" applyFont="1" applyAlignment="1">
      <alignment vertical="center" wrapText="1"/>
    </xf>
    <xf numFmtId="0" fontId="8" fillId="0" borderId="4" xfId="0" applyNumberFormat="1" applyFont="1" applyBorder="1" applyAlignment="1">
      <alignment horizontal="center" vertical="center" wrapText="1"/>
    </xf>
    <xf numFmtId="0" fontId="8" fillId="0" borderId="0" xfId="0" applyNumberFormat="1" applyFont="1" applyAlignment="1">
      <alignment vertical="center" wrapText="1"/>
    </xf>
    <xf numFmtId="0" fontId="8" fillId="9" borderId="31" xfId="0" applyNumberFormat="1" applyFont="1" applyFill="1" applyBorder="1" applyAlignment="1">
      <alignment vertical="center" wrapText="1"/>
    </xf>
    <xf numFmtId="0" fontId="25" fillId="0" borderId="0" xfId="0" applyNumberFormat="1" applyFont="1" applyAlignment="1">
      <alignment vertical="center" wrapText="1"/>
    </xf>
    <xf numFmtId="49" fontId="8" fillId="0" borderId="0" xfId="0" applyNumberFormat="1" applyFont="1">
      <alignment vertical="top"/>
    </xf>
    <xf numFmtId="0" fontId="39" fillId="0" borderId="0" xfId="0" applyNumberFormat="1" applyFont="1" applyAlignment="1">
      <alignment vertical="center" wrapText="1"/>
    </xf>
    <xf numFmtId="0" fontId="8" fillId="0" borderId="0" xfId="0" applyNumberFormat="1" applyFont="1" applyAlignment="1">
      <alignment vertical="center" wrapText="1"/>
    </xf>
    <xf numFmtId="0" fontId="8" fillId="0" borderId="0" xfId="0" applyNumberFormat="1" applyFont="1" applyAlignment="1">
      <alignment vertical="center" wrapText="1"/>
    </xf>
    <xf numFmtId="0" fontId="8" fillId="9" borderId="31" xfId="0" applyNumberFormat="1" applyFont="1" applyFill="1" applyBorder="1" applyAlignment="1">
      <alignment vertical="center" wrapText="1"/>
    </xf>
    <xf numFmtId="49" fontId="39" fillId="21" borderId="0" xfId="0" applyNumberFormat="1" applyFont="1" applyFill="1" applyAlignment="1">
      <alignment horizontal="center" vertical="center" wrapText="1"/>
    </xf>
    <xf numFmtId="0" fontId="8" fillId="0" borderId="4" xfId="0" applyNumberFormat="1" applyFont="1" applyBorder="1" applyAlignment="1">
      <alignment horizontal="center" vertical="center" wrapText="1"/>
    </xf>
    <xf numFmtId="0" fontId="8" fillId="0" borderId="4" xfId="0" applyNumberFormat="1" applyFont="1" applyBorder="1" applyAlignment="1">
      <alignment horizontal="center" vertical="center" wrapText="1"/>
    </xf>
    <xf numFmtId="0" fontId="8" fillId="0" borderId="0" xfId="0" applyNumberFormat="1" applyFont="1" applyAlignment="1">
      <alignment vertical="center" wrapText="1"/>
    </xf>
    <xf numFmtId="0" fontId="25" fillId="0" borderId="0" xfId="0" applyNumberFormat="1" applyFont="1" applyAlignment="1">
      <alignment vertical="center" wrapText="1"/>
    </xf>
    <xf numFmtId="49" fontId="8" fillId="0" borderId="0" xfId="0" applyNumberFormat="1" applyFont="1">
      <alignment vertical="top"/>
    </xf>
    <xf numFmtId="49" fontId="94" fillId="0" borderId="8" xfId="0" applyNumberFormat="1" applyFont="1" applyBorder="1">
      <alignment vertical="top"/>
    </xf>
    <xf numFmtId="0" fontId="0" fillId="0" borderId="0" xfId="0" applyNumberFormat="1" applyFont="1">
      <alignment vertical="top"/>
    </xf>
    <xf numFmtId="0" fontId="39" fillId="0" borderId="0" xfId="0" applyNumberFormat="1" applyFont="1" applyAlignment="1">
      <alignment vertical="center" wrapText="1"/>
    </xf>
    <xf numFmtId="49" fontId="13" fillId="14" borderId="4" xfId="0" applyNumberFormat="1" applyFont="1" applyFill="1" applyBorder="1" applyAlignment="1" applyProtection="1">
      <alignment horizontal="left" vertical="center" wrapText="1"/>
      <protection locked="0"/>
    </xf>
    <xf numFmtId="0" fontId="8" fillId="0" borderId="6" xfId="0" applyNumberFormat="1" applyFont="1" applyBorder="1" applyAlignment="1">
      <alignment horizontal="left" vertical="center"/>
    </xf>
    <xf numFmtId="0" fontId="0" fillId="0" borderId="6" xfId="0" applyNumberFormat="1" applyFont="1" applyBorder="1" applyAlignment="1">
      <alignment horizontal="left" vertical="center"/>
    </xf>
    <xf numFmtId="49" fontId="13" fillId="14" borderId="4" xfId="0" applyNumberFormat="1" applyFont="1" applyFill="1" applyBorder="1" applyAlignment="1" applyProtection="1">
      <alignment horizontal="left" vertical="center" wrapText="1"/>
      <protection locked="0"/>
    </xf>
    <xf numFmtId="0" fontId="8" fillId="9" borderId="18" xfId="33" applyFont="1" applyFill="1" applyBorder="1" applyAlignment="1">
      <alignment horizontal="right" vertical="center" wrapText="1" indent="1"/>
    </xf>
    <xf numFmtId="49" fontId="39" fillId="0" borderId="0" xfId="0" applyNumberFormat="1" applyFont="1" applyAlignment="1">
      <alignment horizontal="center" vertical="center" wrapText="1"/>
    </xf>
    <xf numFmtId="49" fontId="40" fillId="0" borderId="0" xfId="0" applyNumberFormat="1" applyFont="1" applyAlignment="1">
      <alignment horizontal="center" vertical="center" wrapText="1"/>
    </xf>
    <xf numFmtId="49" fontId="33" fillId="13" borderId="7" xfId="0" applyNumberFormat="1" applyFont="1" applyFill="1" applyBorder="1" applyAlignment="1">
      <alignment horizontal="left" vertical="center" indent="1"/>
    </xf>
    <xf numFmtId="4" fontId="8" fillId="14" borderId="23" xfId="0" applyNumberFormat="1" applyFont="1" applyFill="1" applyBorder="1" applyAlignment="1" applyProtection="1">
      <alignment horizontal="right" vertical="center" wrapText="1"/>
      <protection locked="0"/>
    </xf>
    <xf numFmtId="0" fontId="8" fillId="9" borderId="0" xfId="0" applyNumberFormat="1" applyFont="1" applyFill="1" applyAlignment="1">
      <alignment vertical="center" wrapText="1"/>
    </xf>
    <xf numFmtId="0" fontId="8" fillId="0" borderId="0" xfId="0" applyNumberFormat="1" applyFont="1" applyAlignment="1">
      <alignment vertical="center"/>
    </xf>
    <xf numFmtId="0" fontId="8" fillId="0" borderId="0" xfId="0" applyNumberFormat="1" applyFont="1" applyAlignment="1">
      <alignment vertical="center" wrapText="1"/>
    </xf>
    <xf numFmtId="0" fontId="8" fillId="13" borderId="43" xfId="0" applyNumberFormat="1" applyFont="1" applyFill="1" applyBorder="1" applyAlignment="1">
      <alignment vertical="center" wrapText="1"/>
    </xf>
    <xf numFmtId="49" fontId="95" fillId="13" borderId="6" xfId="0" applyNumberFormat="1" applyFont="1" applyFill="1" applyBorder="1" applyAlignment="1">
      <alignment horizontal="left" vertical="center" indent="1"/>
    </xf>
    <xf numFmtId="49" fontId="95" fillId="13" borderId="7" xfId="0" applyNumberFormat="1" applyFont="1" applyFill="1" applyBorder="1" applyAlignment="1">
      <alignment horizontal="left" vertical="center" indent="1"/>
    </xf>
    <xf numFmtId="49" fontId="84" fillId="13" borderId="35" xfId="0" applyNumberFormat="1" applyFont="1" applyFill="1" applyBorder="1" applyAlignment="1">
      <alignment horizontal="center" vertical="center"/>
    </xf>
    <xf numFmtId="49" fontId="95" fillId="13" borderId="35" xfId="0" applyNumberFormat="1" applyFont="1" applyFill="1" applyBorder="1" applyAlignment="1">
      <alignment horizontal="left" vertical="center" indent="1"/>
    </xf>
    <xf numFmtId="49" fontId="96" fillId="0" borderId="0" xfId="0" applyNumberFormat="1" applyFont="1" applyAlignment="1">
      <alignment horizontal="center" vertical="top" wrapText="1"/>
    </xf>
    <xf numFmtId="0" fontId="38" fillId="0" borderId="4" xfId="0" applyNumberFormat="1" applyFont="1" applyBorder="1" applyAlignment="1">
      <alignment horizontal="center" vertical="center"/>
    </xf>
    <xf numFmtId="49" fontId="95" fillId="13" borderId="44" xfId="0" applyNumberFormat="1" applyFont="1" applyFill="1" applyBorder="1" applyAlignment="1">
      <alignment horizontal="left" vertical="center" indent="1"/>
    </xf>
    <xf numFmtId="0" fontId="8" fillId="9" borderId="31" xfId="0" applyNumberFormat="1" applyFont="1" applyFill="1" applyBorder="1" applyAlignment="1">
      <alignment vertical="center" wrapText="1"/>
    </xf>
    <xf numFmtId="0" fontId="8" fillId="0" borderId="46" xfId="0" applyNumberFormat="1" applyFont="1" applyBorder="1" applyAlignment="1">
      <alignment vertical="center" wrapText="1"/>
    </xf>
    <xf numFmtId="0" fontId="8" fillId="15" borderId="4" xfId="0" applyNumberFormat="1" applyFont="1" applyFill="1" applyBorder="1" applyAlignment="1">
      <alignment horizontal="left" vertical="center" wrapText="1" indent="1"/>
    </xf>
    <xf numFmtId="49" fontId="0" fillId="0" borderId="0" xfId="0" applyNumberFormat="1" applyFont="1">
      <alignment vertical="top"/>
    </xf>
    <xf numFmtId="0" fontId="8" fillId="0" borderId="28" xfId="0" applyNumberFormat="1" applyFont="1" applyBorder="1" applyAlignment="1">
      <alignment horizontal="center" vertical="center" wrapText="1"/>
    </xf>
    <xf numFmtId="0" fontId="8" fillId="0" borderId="4" xfId="0" applyNumberFormat="1" applyFont="1" applyBorder="1" applyAlignment="1">
      <alignment horizontal="center" vertical="center" wrapText="1"/>
    </xf>
    <xf numFmtId="0" fontId="8" fillId="9" borderId="4" xfId="0" applyNumberFormat="1" applyFont="1" applyFill="1" applyBorder="1" applyAlignment="1">
      <alignment horizontal="center" vertical="center" wrapText="1"/>
    </xf>
    <xf numFmtId="49" fontId="29" fillId="0" borderId="4" xfId="0" applyNumberFormat="1" applyFont="1" applyBorder="1" applyAlignment="1">
      <alignment horizontal="center" vertical="center"/>
    </xf>
    <xf numFmtId="49" fontId="29" fillId="7" borderId="4" xfId="0" applyNumberFormat="1" applyFont="1" applyFill="1" applyBorder="1" applyAlignment="1">
      <alignment horizontal="center" vertical="center"/>
    </xf>
    <xf numFmtId="0" fontId="29" fillId="0" borderId="4" xfId="0" applyNumberFormat="1" applyFont="1" applyBorder="1" applyAlignment="1">
      <alignment horizontal="center" vertical="center"/>
    </xf>
    <xf numFmtId="49" fontId="29" fillId="0" borderId="15" xfId="0" applyNumberFormat="1" applyFont="1" applyBorder="1" applyAlignment="1">
      <alignment horizontal="center" vertical="center"/>
    </xf>
    <xf numFmtId="49" fontId="8" fillId="0" borderId="0" xfId="0" applyNumberFormat="1" applyFont="1" applyAlignment="1">
      <alignment vertical="center"/>
    </xf>
    <xf numFmtId="49" fontId="39" fillId="0" borderId="9" xfId="0" applyNumberFormat="1" applyFont="1" applyBorder="1" applyAlignment="1">
      <alignment horizontal="center" vertical="center"/>
    </xf>
    <xf numFmtId="49" fontId="8" fillId="0" borderId="9" xfId="0" applyNumberFormat="1" applyFont="1" applyBorder="1" applyAlignment="1">
      <alignment horizontal="center" vertical="center"/>
    </xf>
    <xf numFmtId="0" fontId="8" fillId="0" borderId="9" xfId="0" applyNumberFormat="1" applyFont="1" applyBorder="1" applyAlignment="1">
      <alignment horizontal="right" vertical="center"/>
    </xf>
    <xf numFmtId="0" fontId="8" fillId="0" borderId="9" xfId="0" applyNumberFormat="1" applyFont="1" applyBorder="1" applyAlignment="1">
      <alignment horizontal="center" vertical="center"/>
    </xf>
    <xf numFmtId="0" fontId="8" fillId="0" borderId="4" xfId="0" applyNumberFormat="1" applyFont="1" applyBorder="1" applyAlignment="1">
      <alignment horizontal="right" vertical="center"/>
    </xf>
    <xf numFmtId="49" fontId="8" fillId="0" borderId="0" xfId="0" applyNumberFormat="1" applyFont="1" applyAlignment="1">
      <alignment vertical="center"/>
    </xf>
    <xf numFmtId="0" fontId="8" fillId="0" borderId="48" xfId="0" applyNumberFormat="1" applyFont="1" applyBorder="1" applyAlignment="1">
      <alignment horizontal="right" vertical="center"/>
    </xf>
    <xf numFmtId="0" fontId="8" fillId="0" borderId="48" xfId="0" applyNumberFormat="1" applyFont="1" applyBorder="1" applyAlignment="1">
      <alignment horizontal="center" vertical="center"/>
    </xf>
    <xf numFmtId="0" fontId="8" fillId="0" borderId="7" xfId="0" applyNumberFormat="1" applyFont="1" applyBorder="1" applyAlignment="1">
      <alignment horizontal="right" vertical="center"/>
    </xf>
    <xf numFmtId="0" fontId="8" fillId="0" borderId="5" xfId="0" applyNumberFormat="1" applyFont="1" applyBorder="1" applyAlignment="1">
      <alignment horizontal="right" vertical="center"/>
    </xf>
    <xf numFmtId="0" fontId="8" fillId="9" borderId="4" xfId="0" applyNumberFormat="1" applyFont="1" applyFill="1" applyBorder="1" applyAlignment="1">
      <alignment horizontal="center" vertical="center"/>
    </xf>
    <xf numFmtId="0" fontId="8" fillId="7" borderId="4" xfId="0" applyNumberFormat="1" applyFont="1" applyFill="1" applyBorder="1" applyAlignment="1">
      <alignment horizontal="right" vertical="center"/>
    </xf>
    <xf numFmtId="3" fontId="8" fillId="6" borderId="4" xfId="0" applyNumberFormat="1" applyFont="1" applyFill="1" applyBorder="1" applyAlignment="1" applyProtection="1">
      <alignment horizontal="right" vertical="center"/>
      <protection locked="0"/>
    </xf>
    <xf numFmtId="49" fontId="33" fillId="13" borderId="43" xfId="0" applyNumberFormat="1" applyFont="1" applyFill="1" applyBorder="1" applyAlignment="1">
      <alignment horizontal="left" vertical="center" indent="1"/>
    </xf>
    <xf numFmtId="49" fontId="33" fillId="26" borderId="5" xfId="0" applyNumberFormat="1" applyFont="1" applyFill="1" applyBorder="1" applyAlignment="1">
      <alignment horizontal="left" vertical="center" indent="1"/>
    </xf>
    <xf numFmtId="49" fontId="8" fillId="0" borderId="0" xfId="0" applyNumberFormat="1" applyFont="1">
      <alignment vertical="top"/>
    </xf>
    <xf numFmtId="0" fontId="8" fillId="22" borderId="0" xfId="0" applyNumberFormat="1" applyFont="1" applyFill="1" applyAlignment="1">
      <alignment horizontal="left" vertical="center"/>
    </xf>
    <xf numFmtId="49" fontId="8" fillId="15" borderId="4" xfId="0" applyNumberFormat="1" applyFont="1" applyFill="1" applyBorder="1" applyAlignment="1">
      <alignment horizontal="center" vertical="center" wrapText="1"/>
    </xf>
    <xf numFmtId="0" fontId="8" fillId="9" borderId="4" xfId="0" applyNumberFormat="1" applyFont="1" applyFill="1" applyBorder="1" applyAlignment="1">
      <alignment horizontal="center" vertical="center" wrapText="1"/>
    </xf>
    <xf numFmtId="0" fontId="8" fillId="0" borderId="0" xfId="0" applyNumberFormat="1" applyFont="1" applyAlignment="1">
      <alignment horizontal="right" vertical="center" wrapText="1"/>
    </xf>
    <xf numFmtId="0" fontId="29" fillId="9" borderId="0" xfId="0" applyNumberFormat="1" applyFont="1" applyFill="1" applyAlignment="1">
      <alignment horizontal="center" vertical="center" wrapText="1"/>
    </xf>
    <xf numFmtId="0" fontId="40" fillId="0" borderId="0" xfId="0" applyNumberFormat="1" applyFont="1" applyAlignment="1">
      <alignment horizontal="center" vertical="center" wrapText="1"/>
    </xf>
    <xf numFmtId="0" fontId="0" fillId="0" borderId="4"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8" fillId="0" borderId="4" xfId="0" applyNumberFormat="1" applyFont="1" applyBorder="1" applyAlignment="1">
      <alignment horizontal="center" vertical="center" wrapText="1"/>
    </xf>
    <xf numFmtId="49" fontId="8" fillId="0" borderId="4" xfId="0" applyNumberFormat="1" applyFont="1" applyBorder="1" applyAlignment="1">
      <alignment horizontal="left" vertical="center" wrapText="1"/>
    </xf>
    <xf numFmtId="0" fontId="8" fillId="0" borderId="4" xfId="0" applyNumberFormat="1" applyFont="1" applyBorder="1" applyAlignment="1">
      <alignment horizontal="left" vertical="center" wrapText="1"/>
    </xf>
    <xf numFmtId="0" fontId="8" fillId="9" borderId="4" xfId="0" applyNumberFormat="1" applyFont="1" applyFill="1" applyBorder="1" applyAlignment="1">
      <alignment horizontal="left" vertical="center" wrapText="1"/>
    </xf>
    <xf numFmtId="0" fontId="30" fillId="9" borderId="0" xfId="0" applyNumberFormat="1" applyFont="1" applyFill="1" applyAlignment="1">
      <alignment horizontal="center" vertical="center" wrapText="1"/>
    </xf>
    <xf numFmtId="49" fontId="0" fillId="0" borderId="4" xfId="0" applyNumberFormat="1" applyFont="1" applyBorder="1" applyAlignment="1">
      <alignment horizontal="center" vertical="center" wrapText="1"/>
    </xf>
    <xf numFmtId="49" fontId="0" fillId="0" borderId="4" xfId="0" applyNumberFormat="1" applyFont="1" applyBorder="1" applyAlignment="1">
      <alignment horizontal="center" vertical="center"/>
    </xf>
    <xf numFmtId="0" fontId="8" fillId="9" borderId="11" xfId="0" applyNumberFormat="1" applyFont="1" applyFill="1" applyBorder="1" applyAlignment="1">
      <alignment vertical="center" wrapText="1"/>
    </xf>
    <xf numFmtId="49" fontId="40" fillId="0" borderId="0" xfId="0" applyNumberFormat="1" applyFont="1">
      <alignment vertical="top"/>
    </xf>
    <xf numFmtId="0" fontId="40" fillId="0" borderId="31" xfId="0" applyNumberFormat="1" applyFont="1" applyBorder="1" applyAlignment="1">
      <alignment vertical="center" wrapText="1"/>
    </xf>
    <xf numFmtId="49" fontId="0" fillId="0" borderId="4" xfId="0" applyNumberFormat="1" applyFont="1" applyBorder="1" applyAlignment="1">
      <alignment horizontal="center" vertical="center"/>
    </xf>
    <xf numFmtId="49" fontId="0" fillId="0" borderId="4" xfId="0" applyNumberFormat="1" applyFont="1" applyBorder="1" applyAlignment="1">
      <alignment horizontal="center" vertical="center" wrapText="1"/>
    </xf>
    <xf numFmtId="49" fontId="0" fillId="11" borderId="4" xfId="0" applyNumberFormat="1" applyFont="1" applyFill="1" applyBorder="1" applyAlignment="1">
      <alignment horizontal="center" vertical="center"/>
    </xf>
    <xf numFmtId="49" fontId="8" fillId="0" borderId="14" xfId="0" applyNumberFormat="1" applyFont="1" applyBorder="1">
      <alignment vertical="top"/>
    </xf>
    <xf numFmtId="0" fontId="8" fillId="0" borderId="14" xfId="0" applyNumberFormat="1" applyFont="1" applyBorder="1" applyAlignment="1">
      <alignment vertical="center" wrapText="1"/>
    </xf>
    <xf numFmtId="4" fontId="0" fillId="6" borderId="4" xfId="0" applyNumberFormat="1" applyFont="1" applyFill="1" applyBorder="1" applyAlignment="1" applyProtection="1">
      <alignment horizontal="right" vertical="center" wrapText="1"/>
      <protection locked="0"/>
    </xf>
    <xf numFmtId="4" fontId="0" fillId="11" borderId="4" xfId="0" applyNumberFormat="1" applyFont="1" applyFill="1" applyBorder="1" applyAlignment="1">
      <alignment horizontal="right" vertical="center" wrapText="1"/>
    </xf>
    <xf numFmtId="49" fontId="0" fillId="0" borderId="4" xfId="0" applyNumberFormat="1" applyFont="1" applyBorder="1" applyAlignment="1">
      <alignment horizontal="left" vertical="center" wrapText="1" indent="2"/>
    </xf>
    <xf numFmtId="49" fontId="0" fillId="0" borderId="4" xfId="0" applyNumberFormat="1" applyFont="1" applyBorder="1" applyAlignment="1">
      <alignment horizontal="left" vertical="center" wrapText="1" indent="3"/>
    </xf>
    <xf numFmtId="49" fontId="0" fillId="0" borderId="4" xfId="0" applyNumberFormat="1" applyFont="1" applyBorder="1" applyAlignment="1">
      <alignment horizontal="left" vertical="center" wrapText="1"/>
    </xf>
    <xf numFmtId="0" fontId="8" fillId="0" borderId="30" xfId="0" applyNumberFormat="1" applyFont="1" applyBorder="1" applyAlignment="1">
      <alignment vertical="center"/>
    </xf>
    <xf numFmtId="49" fontId="33" fillId="13" borderId="7" xfId="0" applyNumberFormat="1" applyFont="1" applyFill="1" applyBorder="1" applyAlignment="1">
      <alignment horizontal="left" vertical="center" indent="1"/>
    </xf>
    <xf numFmtId="49" fontId="8" fillId="14" borderId="9" xfId="0" applyNumberFormat="1" applyFont="1" applyFill="1" applyBorder="1" applyAlignment="1" applyProtection="1">
      <alignment horizontal="left" vertical="center" wrapText="1" indent="1"/>
      <protection locked="0"/>
    </xf>
    <xf numFmtId="0" fontId="7" fillId="0" borderId="0" xfId="0" applyNumberFormat="1" applyFont="1" applyAlignment="1">
      <alignment vertical="center" wrapText="1"/>
    </xf>
    <xf numFmtId="0" fontId="8" fillId="9" borderId="20" xfId="0" applyNumberFormat="1" applyFont="1" applyFill="1" applyBorder="1" applyAlignment="1">
      <alignment vertical="center" wrapText="1"/>
    </xf>
    <xf numFmtId="0" fontId="40" fillId="9" borderId="11" xfId="0" applyNumberFormat="1" applyFont="1" applyFill="1" applyBorder="1" applyAlignment="1">
      <alignment horizontal="center" vertical="center" wrapText="1"/>
    </xf>
    <xf numFmtId="49" fontId="63" fillId="0" borderId="0" xfId="0" applyNumberFormat="1" applyFont="1" applyAlignment="1">
      <alignment vertical="center" wrapText="1"/>
    </xf>
    <xf numFmtId="0" fontId="97" fillId="9" borderId="0" xfId="0" applyNumberFormat="1" applyFont="1" applyFill="1" applyAlignment="1">
      <alignment vertical="center" wrapText="1"/>
    </xf>
    <xf numFmtId="0" fontId="62" fillId="0" borderId="0" xfId="0" applyNumberFormat="1" applyFont="1" applyAlignment="1">
      <alignment horizontal="left" vertical="center" wrapText="1"/>
    </xf>
    <xf numFmtId="0" fontId="8" fillId="0" borderId="0" xfId="0" applyNumberFormat="1" applyFont="1" applyAlignment="1">
      <alignment vertical="center"/>
    </xf>
    <xf numFmtId="49" fontId="40" fillId="9" borderId="0" xfId="0" applyNumberFormat="1" applyFont="1" applyFill="1" applyAlignment="1">
      <alignment horizontal="center" vertical="center" wrapText="1"/>
    </xf>
    <xf numFmtId="0" fontId="8" fillId="0" borderId="0" xfId="0" applyNumberFormat="1" applyFont="1" applyAlignment="1">
      <alignment horizontal="left" vertical="center" wrapText="1"/>
    </xf>
    <xf numFmtId="0" fontId="40" fillId="0" borderId="0" xfId="0" applyNumberFormat="1" applyFont="1" applyAlignment="1">
      <alignment vertical="center"/>
    </xf>
    <xf numFmtId="0" fontId="8" fillId="0" borderId="0" xfId="0" applyNumberFormat="1" applyFont="1" applyAlignment="1">
      <alignment horizontal="left" vertical="center" wrapText="1" indent="1"/>
    </xf>
    <xf numFmtId="0" fontId="72" fillId="0" borderId="0" xfId="0" applyNumberFormat="1" applyFont="1" applyAlignment="1">
      <alignment vertical="center" wrapText="1"/>
    </xf>
    <xf numFmtId="0" fontId="8" fillId="0" borderId="0" xfId="0" applyNumberFormat="1" applyFont="1" applyAlignment="1">
      <alignment horizontal="right" vertical="top" wrapText="1"/>
    </xf>
    <xf numFmtId="49" fontId="0" fillId="9" borderId="4" xfId="0" applyNumberFormat="1" applyFont="1" applyFill="1" applyBorder="1" applyAlignment="1">
      <alignment horizontal="center" vertical="center" wrapText="1"/>
    </xf>
    <xf numFmtId="4" fontId="0" fillId="9" borderId="6" xfId="0" applyNumberFormat="1" applyFont="1" applyFill="1" applyBorder="1" applyAlignment="1">
      <alignment horizontal="right" vertical="center"/>
    </xf>
    <xf numFmtId="0" fontId="8" fillId="0" borderId="6" xfId="0" applyNumberFormat="1" applyFont="1" applyBorder="1" applyAlignment="1">
      <alignment horizontal="left" vertical="center" wrapText="1" indent="6"/>
    </xf>
    <xf numFmtId="49" fontId="8" fillId="13" borderId="22" xfId="0" applyNumberFormat="1" applyFont="1" applyFill="1" applyBorder="1" applyAlignment="1">
      <alignment horizontal="center" vertical="center" wrapText="1"/>
    </xf>
    <xf numFmtId="0" fontId="40" fillId="0" borderId="0" xfId="0" applyNumberFormat="1" applyFont="1" applyAlignment="1">
      <alignment vertical="top" wrapText="1"/>
    </xf>
    <xf numFmtId="49" fontId="0" fillId="0" borderId="0" xfId="0" applyNumberFormat="1" applyFont="1" applyAlignment="1">
      <alignment vertical="center" wrapText="1"/>
    </xf>
    <xf numFmtId="0" fontId="98" fillId="9" borderId="0" xfId="0" applyNumberFormat="1" applyFont="1" applyFill="1" applyAlignment="1">
      <alignment vertical="center" wrapText="1"/>
    </xf>
    <xf numFmtId="49" fontId="70" fillId="9" borderId="11" xfId="0" applyNumberFormat="1" applyFont="1" applyFill="1" applyBorder="1" applyAlignment="1">
      <alignment horizontal="center" vertical="center" wrapText="1"/>
    </xf>
    <xf numFmtId="0" fontId="70" fillId="9" borderId="11" xfId="0" applyNumberFormat="1" applyFont="1" applyFill="1" applyBorder="1" applyAlignment="1">
      <alignment horizontal="center" vertical="center" wrapText="1"/>
    </xf>
    <xf numFmtId="49" fontId="8" fillId="0" borderId="0" xfId="0" applyNumberFormat="1" applyFont="1" applyAlignment="1">
      <alignment horizontal="left" vertical="center"/>
    </xf>
    <xf numFmtId="49" fontId="8" fillId="0" borderId="0" xfId="0" applyNumberFormat="1" applyFont="1" applyAlignment="1">
      <alignment horizontal="left" vertical="top"/>
    </xf>
    <xf numFmtId="0" fontId="38" fillId="0" borderId="4" xfId="0" applyNumberFormat="1" applyFont="1" applyBorder="1" applyAlignment="1">
      <alignment vertical="top" wrapText="1"/>
    </xf>
    <xf numFmtId="0" fontId="8" fillId="15" borderId="4" xfId="0" applyNumberFormat="1" applyFont="1" applyFill="1" applyBorder="1" applyAlignment="1" applyProtection="1">
      <alignment horizontal="left" vertical="center" wrapText="1" indent="6"/>
      <protection locked="0"/>
    </xf>
    <xf numFmtId="0" fontId="8" fillId="0" borderId="0" xfId="0" applyNumberFormat="1" applyFont="1" applyAlignment="1">
      <alignment vertical="center"/>
    </xf>
    <xf numFmtId="0" fontId="99" fillId="0" borderId="0" xfId="0" applyNumberFormat="1" applyFont="1" applyAlignment="1">
      <alignment vertical="center"/>
    </xf>
    <xf numFmtId="0" fontId="99" fillId="0" borderId="0" xfId="0" applyNumberFormat="1" applyFont="1" applyAlignment="1">
      <alignment vertical="center"/>
    </xf>
    <xf numFmtId="0" fontId="8" fillId="0" borderId="0" xfId="0" applyNumberFormat="1" applyFont="1" applyAlignment="1">
      <alignment vertical="center"/>
    </xf>
    <xf numFmtId="0" fontId="99" fillId="0" borderId="0" xfId="0" applyNumberFormat="1" applyFont="1" applyAlignment="1">
      <alignment vertical="center"/>
    </xf>
    <xf numFmtId="0" fontId="8" fillId="0" borderId="0" xfId="0" applyNumberFormat="1" applyFont="1" applyAlignment="1">
      <alignment vertical="center"/>
    </xf>
    <xf numFmtId="0" fontId="8" fillId="0" borderId="0" xfId="0" applyNumberFormat="1" applyFont="1" applyAlignment="1">
      <alignment vertical="center"/>
    </xf>
    <xf numFmtId="0" fontId="8" fillId="0" borderId="0" xfId="0" applyNumberFormat="1" applyFont="1" applyAlignment="1">
      <alignment horizontal="left" vertical="center" indent="1"/>
    </xf>
    <xf numFmtId="49" fontId="8" fillId="0" borderId="0" xfId="0" applyNumberFormat="1" applyFont="1" applyAlignment="1">
      <alignment horizontal="left" vertical="center"/>
    </xf>
    <xf numFmtId="49" fontId="100" fillId="13" borderId="7" xfId="0" applyNumberFormat="1" applyFont="1" applyFill="1" applyBorder="1" applyAlignment="1">
      <alignment horizontal="left" vertical="center" indent="3"/>
    </xf>
    <xf numFmtId="49" fontId="63" fillId="13" borderId="7" xfId="0" applyNumberFormat="1" applyFont="1" applyFill="1" applyBorder="1" applyAlignment="1">
      <alignment horizontal="center" vertical="center" wrapText="1"/>
    </xf>
    <xf numFmtId="49" fontId="57" fillId="13" borderId="7" xfId="0" applyNumberFormat="1" applyFont="1" applyFill="1" applyBorder="1" applyAlignment="1">
      <alignment horizontal="center" vertical="center" wrapText="1"/>
    </xf>
    <xf numFmtId="49" fontId="57" fillId="13" borderId="5" xfId="0" applyNumberFormat="1" applyFont="1" applyFill="1" applyBorder="1" applyAlignment="1">
      <alignment horizontal="center" vertical="center" wrapText="1"/>
    </xf>
    <xf numFmtId="49" fontId="100" fillId="13" borderId="7" xfId="0" applyNumberFormat="1" applyFont="1" applyFill="1" applyBorder="1" applyAlignment="1">
      <alignment horizontal="left" vertical="center" indent="2"/>
    </xf>
    <xf numFmtId="49" fontId="100" fillId="13" borderId="7" xfId="0" applyNumberFormat="1" applyFont="1" applyFill="1" applyBorder="1" applyAlignment="1">
      <alignment horizontal="left" vertical="center" indent="1"/>
    </xf>
    <xf numFmtId="49" fontId="100" fillId="13" borderId="7" xfId="0" applyNumberFormat="1" applyFont="1" applyFill="1" applyBorder="1" applyAlignment="1">
      <alignment horizontal="left" vertical="center"/>
    </xf>
    <xf numFmtId="0" fontId="8" fillId="9"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70" fillId="9" borderId="11" xfId="0" applyNumberFormat="1" applyFont="1" applyFill="1" applyBorder="1" applyAlignment="1">
      <alignment horizontal="left" vertical="center" wrapText="1"/>
    </xf>
    <xf numFmtId="49" fontId="60" fillId="13" borderId="6" xfId="0" applyNumberFormat="1" applyFont="1" applyFill="1" applyBorder="1" applyAlignment="1">
      <alignment horizontal="left" vertical="center"/>
    </xf>
    <xf numFmtId="49" fontId="91" fillId="13" borderId="6" xfId="0" applyNumberFormat="1" applyFont="1" applyFill="1" applyBorder="1" applyAlignment="1">
      <alignment horizontal="left" vertical="center"/>
    </xf>
    <xf numFmtId="49" fontId="57" fillId="13" borderId="6" xfId="0" applyNumberFormat="1" applyFont="1" applyFill="1" applyBorder="1" applyAlignment="1">
      <alignment horizontal="left" vertical="top"/>
    </xf>
    <xf numFmtId="0" fontId="0" fillId="22" borderId="0" xfId="0" applyNumberFormat="1" applyFont="1" applyFill="1" applyAlignment="1">
      <alignment horizontal="right" vertical="center"/>
    </xf>
    <xf numFmtId="0" fontId="40" fillId="0" borderId="4" xfId="0" applyNumberFormat="1" applyFont="1" applyBorder="1" applyAlignment="1">
      <alignment horizontal="center" vertical="center"/>
    </xf>
    <xf numFmtId="0" fontId="8" fillId="0" borderId="4"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8" fillId="0" borderId="0" xfId="0" applyNumberFormat="1" applyFont="1" applyAlignment="1">
      <alignment vertical="center" wrapText="1"/>
    </xf>
    <xf numFmtId="0" fontId="8" fillId="0" borderId="0" xfId="0" applyNumberFormat="1" applyFont="1" applyAlignment="1">
      <alignment horizontal="right" vertical="center" wrapText="1"/>
    </xf>
    <xf numFmtId="0" fontId="8" fillId="0" borderId="0" xfId="0" applyNumberFormat="1" applyFont="1" applyAlignment="1">
      <alignment horizontal="left" vertical="top" wrapText="1"/>
    </xf>
    <xf numFmtId="0" fontId="70" fillId="9" borderId="11" xfId="0" applyNumberFormat="1" applyFont="1" applyFill="1" applyBorder="1" applyAlignment="1">
      <alignment horizontal="center" vertical="center" wrapText="1"/>
    </xf>
    <xf numFmtId="0" fontId="8" fillId="0" borderId="0" xfId="0" applyNumberFormat="1" applyFont="1" applyAlignment="1">
      <alignment horizontal="center" vertical="center" wrapText="1"/>
    </xf>
    <xf numFmtId="0" fontId="40" fillId="0" borderId="0" xfId="0" applyNumberFormat="1" applyFont="1" applyAlignment="1">
      <alignment horizontal="center" vertical="center" wrapText="1"/>
    </xf>
    <xf numFmtId="0" fontId="0" fillId="0" borderId="4" xfId="0" applyNumberFormat="1" applyFont="1" applyBorder="1" applyAlignment="1">
      <alignment horizontal="center" vertical="center" wrapText="1"/>
    </xf>
    <xf numFmtId="0" fontId="8" fillId="9" borderId="4" xfId="0" applyNumberFormat="1" applyFont="1" applyFill="1" applyBorder="1" applyAlignment="1">
      <alignment horizontal="left" vertical="center" wrapText="1"/>
    </xf>
    <xf numFmtId="49" fontId="8" fillId="0" borderId="4" xfId="0" applyNumberFormat="1" applyFont="1" applyBorder="1" applyAlignment="1">
      <alignment horizontal="left" vertical="center" wrapText="1"/>
    </xf>
    <xf numFmtId="49" fontId="8" fillId="0" borderId="4" xfId="0" applyNumberFormat="1" applyFont="1" applyBorder="1" applyAlignment="1">
      <alignment horizontal="center" vertical="center" wrapText="1"/>
    </xf>
    <xf numFmtId="0" fontId="44" fillId="22" borderId="0" xfId="0" applyNumberFormat="1" applyFont="1" applyFill="1" applyAlignment="1">
      <alignment horizontal="left" vertical="center"/>
    </xf>
    <xf numFmtId="49" fontId="8" fillId="0" borderId="11" xfId="0" applyNumberFormat="1" applyFont="1" applyBorder="1" applyAlignment="1">
      <alignment horizontal="center" vertical="center" wrapText="1"/>
    </xf>
    <xf numFmtId="49" fontId="0" fillId="0" borderId="11" xfId="0" applyNumberFormat="1" applyFont="1" applyBorder="1" applyAlignment="1">
      <alignment horizontal="left" vertical="center" wrapText="1"/>
    </xf>
    <xf numFmtId="49" fontId="8" fillId="0" borderId="12" xfId="0" applyNumberFormat="1" applyFont="1" applyBorder="1" applyAlignment="1">
      <alignment horizontal="left" vertical="center" wrapText="1"/>
    </xf>
    <xf numFmtId="0" fontId="33" fillId="0" borderId="0" xfId="0" applyNumberFormat="1" applyFont="1" applyAlignment="1">
      <alignment horizontal="left" vertical="center"/>
    </xf>
    <xf numFmtId="0" fontId="33" fillId="0" borderId="16" xfId="0" applyNumberFormat="1" applyFont="1" applyBorder="1" applyAlignment="1">
      <alignment horizontal="left" vertical="center"/>
    </xf>
    <xf numFmtId="49" fontId="8" fillId="0" borderId="0" xfId="0" applyNumberFormat="1" applyFont="1" applyAlignment="1">
      <alignment horizontal="center" vertical="center" wrapText="1"/>
    </xf>
    <xf numFmtId="0" fontId="33" fillId="0" borderId="19" xfId="0" applyNumberFormat="1" applyFont="1" applyBorder="1" applyAlignment="1">
      <alignment horizontal="left" vertical="center"/>
    </xf>
    <xf numFmtId="0" fontId="33" fillId="0" borderId="20" xfId="0" applyNumberFormat="1" applyFont="1" applyBorder="1" applyAlignment="1">
      <alignment horizontal="left" vertical="center"/>
    </xf>
    <xf numFmtId="0" fontId="0" fillId="0" borderId="20" xfId="0" applyNumberFormat="1" applyFont="1" applyBorder="1" applyAlignment="1">
      <alignment vertical="center"/>
    </xf>
    <xf numFmtId="0" fontId="33" fillId="0" borderId="22" xfId="0" applyNumberFormat="1" applyFont="1" applyBorder="1" applyAlignment="1">
      <alignment horizontal="left" vertical="center"/>
    </xf>
    <xf numFmtId="49" fontId="8" fillId="0" borderId="0" xfId="0" applyNumberFormat="1" applyFont="1" applyAlignment="1">
      <alignment vertical="center" wrapText="1"/>
    </xf>
    <xf numFmtId="49" fontId="0" fillId="14" borderId="4" xfId="0" applyNumberFormat="1" applyFont="1" applyFill="1" applyBorder="1" applyAlignment="1" applyProtection="1">
      <alignment horizontal="left" vertical="center" wrapText="1"/>
      <protection locked="0"/>
    </xf>
    <xf numFmtId="0" fontId="8" fillId="0" borderId="0" xfId="0" applyNumberFormat="1" applyFont="1" applyAlignment="1">
      <alignment horizontal="center" vertical="center" wrapText="1"/>
    </xf>
    <xf numFmtId="0" fontId="40" fillId="0" borderId="0" xfId="0" applyNumberFormat="1" applyFont="1" applyAlignment="1">
      <alignment horizontal="center" vertical="center" wrapText="1"/>
    </xf>
    <xf numFmtId="49" fontId="8" fillId="0" borderId="4" xfId="0" applyNumberFormat="1" applyFont="1" applyBorder="1" applyAlignment="1">
      <alignment horizontal="left" vertical="center" wrapText="1"/>
    </xf>
    <xf numFmtId="0" fontId="38" fillId="0" borderId="9" xfId="0" applyNumberFormat="1" applyFont="1" applyBorder="1" applyAlignment="1">
      <alignment vertical="top" wrapText="1"/>
    </xf>
    <xf numFmtId="0" fontId="8" fillId="9" borderId="4" xfId="0" applyNumberFormat="1" applyFont="1" applyFill="1" applyBorder="1" applyAlignment="1">
      <alignment horizontal="left" vertical="center" wrapText="1"/>
    </xf>
    <xf numFmtId="0" fontId="8" fillId="0" borderId="0" xfId="0" applyNumberFormat="1" applyFont="1" applyAlignment="1">
      <alignment horizontal="center" vertical="center"/>
    </xf>
    <xf numFmtId="49" fontId="8" fillId="0" borderId="0" xfId="0" applyNumberFormat="1" applyFont="1" applyAlignment="1">
      <alignment vertical="center" wrapText="1"/>
    </xf>
    <xf numFmtId="0" fontId="70" fillId="9" borderId="11" xfId="0" applyNumberFormat="1" applyFont="1" applyFill="1" applyBorder="1" applyAlignment="1">
      <alignment horizontal="center" vertical="center" wrapText="1"/>
    </xf>
    <xf numFmtId="0" fontId="0" fillId="0" borderId="4" xfId="0" applyNumberFormat="1" applyFont="1" applyBorder="1" applyAlignment="1">
      <alignment horizontal="center" vertical="center" wrapText="1"/>
    </xf>
    <xf numFmtId="0" fontId="40" fillId="0" borderId="0" xfId="0" applyNumberFormat="1" applyFont="1" applyAlignment="1">
      <alignment horizontal="left" vertical="center" indent="1"/>
    </xf>
    <xf numFmtId="0" fontId="40" fillId="0" borderId="0" xfId="0" applyNumberFormat="1" applyFont="1" applyAlignment="1">
      <alignment horizontal="left" vertical="center" wrapText="1"/>
    </xf>
    <xf numFmtId="49" fontId="40" fillId="0" borderId="0" xfId="0" applyNumberFormat="1" applyFont="1">
      <alignment vertical="top"/>
    </xf>
    <xf numFmtId="49" fontId="98" fillId="0" borderId="0" xfId="0" applyNumberFormat="1" applyFont="1">
      <alignment vertical="top"/>
    </xf>
    <xf numFmtId="49" fontId="87" fillId="0" borderId="11" xfId="0" applyNumberFormat="1" applyFont="1" applyBorder="1" applyAlignment="1">
      <alignment horizontal="left" vertical="center"/>
    </xf>
    <xf numFmtId="49" fontId="40" fillId="0" borderId="11" xfId="0" applyNumberFormat="1" applyFont="1" applyBorder="1" applyAlignment="1">
      <alignment horizontal="left" vertical="center" indent="3"/>
    </xf>
    <xf numFmtId="49" fontId="40" fillId="0" borderId="11" xfId="0" applyNumberFormat="1" applyFont="1" applyBorder="1" applyAlignment="1">
      <alignment horizontal="center" vertical="center" wrapText="1"/>
    </xf>
    <xf numFmtId="49" fontId="40" fillId="0" borderId="0" xfId="0" applyNumberFormat="1" applyFont="1" applyAlignment="1">
      <alignment horizontal="left" vertical="center"/>
    </xf>
    <xf numFmtId="49" fontId="87" fillId="0" borderId="0" xfId="0" applyNumberFormat="1" applyFont="1" applyAlignment="1">
      <alignment horizontal="left" vertical="center"/>
    </xf>
    <xf numFmtId="49" fontId="40" fillId="0" borderId="0" xfId="0" applyNumberFormat="1" applyFont="1" applyAlignment="1">
      <alignment horizontal="left" vertical="center" indent="2"/>
    </xf>
    <xf numFmtId="49" fontId="40" fillId="0" borderId="0" xfId="0" applyNumberFormat="1" applyFont="1" applyAlignment="1">
      <alignment horizontal="center" vertical="center" wrapText="1"/>
    </xf>
    <xf numFmtId="49" fontId="40" fillId="0" borderId="0" xfId="0" applyNumberFormat="1" applyFont="1" applyAlignment="1">
      <alignment horizontal="left" vertical="center" indent="1"/>
    </xf>
    <xf numFmtId="0" fontId="8" fillId="0" borderId="0" xfId="0" applyNumberFormat="1" applyFont="1" applyAlignment="1">
      <alignment horizontal="center" vertical="center" wrapText="1"/>
    </xf>
    <xf numFmtId="49" fontId="8" fillId="0" borderId="0" xfId="0" applyNumberFormat="1" applyFont="1" applyAlignment="1">
      <alignment vertical="center" wrapText="1"/>
    </xf>
    <xf numFmtId="0" fontId="39" fillId="0" borderId="0" xfId="0" applyNumberFormat="1" applyFont="1" applyAlignment="1">
      <alignment horizontal="center" vertical="center" wrapText="1"/>
    </xf>
    <xf numFmtId="0" fontId="8" fillId="9" borderId="4" xfId="0" applyNumberFormat="1" applyFont="1" applyFill="1" applyBorder="1" applyAlignment="1">
      <alignment horizontal="center" vertical="center" wrapText="1"/>
    </xf>
    <xf numFmtId="0" fontId="40" fillId="0" borderId="0" xfId="0" applyNumberFormat="1" applyFont="1" applyAlignment="1">
      <alignment horizontal="center" vertical="center" wrapText="1"/>
    </xf>
    <xf numFmtId="0" fontId="8" fillId="0" borderId="0" xfId="0" applyNumberFormat="1" applyFont="1" applyAlignment="1">
      <alignment horizontal="center" vertical="center" wrapText="1"/>
    </xf>
    <xf numFmtId="0" fontId="8" fillId="0" borderId="0" xfId="0" applyNumberFormat="1" applyFont="1" applyAlignment="1">
      <alignment horizontal="left" vertical="top" wrapText="1"/>
    </xf>
    <xf numFmtId="0" fontId="0" fillId="0" borderId="5" xfId="0" applyNumberFormat="1" applyFont="1" applyBorder="1" applyAlignment="1">
      <alignment horizontal="center" vertical="center" wrapText="1"/>
    </xf>
    <xf numFmtId="0" fontId="70" fillId="9" borderId="11" xfId="0" applyNumberFormat="1" applyFont="1" applyFill="1" applyBorder="1" applyAlignment="1">
      <alignment horizontal="center" vertical="center" wrapText="1"/>
    </xf>
    <xf numFmtId="0" fontId="8" fillId="9" borderId="4" xfId="0" applyNumberFormat="1" applyFont="1" applyFill="1" applyBorder="1" applyAlignment="1">
      <alignment horizontal="left" vertical="center" wrapText="1"/>
    </xf>
    <xf numFmtId="49" fontId="8" fillId="9" borderId="4" xfId="0" applyNumberFormat="1" applyFont="1" applyFill="1" applyBorder="1" applyAlignment="1">
      <alignment horizontal="center" vertical="center" wrapText="1"/>
    </xf>
    <xf numFmtId="0" fontId="0" fillId="0" borderId="4" xfId="0" applyNumberFormat="1" applyFont="1" applyBorder="1" applyAlignment="1">
      <alignment horizontal="center" vertical="center" wrapText="1"/>
    </xf>
    <xf numFmtId="0" fontId="40" fillId="0" borderId="0" xfId="0" applyNumberFormat="1" applyFont="1" applyAlignment="1">
      <alignment horizontal="center" vertical="center"/>
    </xf>
    <xf numFmtId="0" fontId="8" fillId="0" borderId="0" xfId="0" applyNumberFormat="1" applyFont="1" applyAlignment="1">
      <alignment horizontal="right" vertical="center" wrapText="1"/>
    </xf>
    <xf numFmtId="0" fontId="70" fillId="9" borderId="0" xfId="0" applyNumberFormat="1" applyFont="1" applyFill="1" applyAlignment="1">
      <alignment horizontal="center" vertical="center" wrapText="1"/>
    </xf>
    <xf numFmtId="49" fontId="8" fillId="0" borderId="4" xfId="0" applyNumberFormat="1" applyFont="1" applyBorder="1" applyAlignment="1">
      <alignment horizontal="left" vertical="center" wrapText="1"/>
    </xf>
    <xf numFmtId="0" fontId="40" fillId="0" borderId="0" xfId="0" applyNumberFormat="1" applyFont="1" applyAlignment="1">
      <alignment horizontal="left" vertical="center" indent="1"/>
    </xf>
    <xf numFmtId="49" fontId="98" fillId="0" borderId="0" xfId="0" applyNumberFormat="1" applyFont="1">
      <alignment vertical="top"/>
    </xf>
    <xf numFmtId="49" fontId="8" fillId="0" borderId="4" xfId="0" applyNumberFormat="1" applyFont="1" applyBorder="1" applyAlignment="1">
      <alignment vertical="center" wrapText="1"/>
    </xf>
    <xf numFmtId="0" fontId="40" fillId="0" borderId="0" xfId="0" applyNumberFormat="1" applyFont="1" applyAlignment="1">
      <alignment horizontal="center" vertical="center"/>
    </xf>
    <xf numFmtId="0" fontId="8" fillId="15" borderId="4" xfId="0" applyNumberFormat="1" applyFont="1" applyFill="1" applyBorder="1" applyAlignment="1">
      <alignment horizontal="left" vertical="center" wrapText="1" indent="6"/>
    </xf>
    <xf numFmtId="49" fontId="0" fillId="0" borderId="0" xfId="0" applyNumberFormat="1" applyFont="1">
      <alignment vertical="top"/>
    </xf>
    <xf numFmtId="0" fontId="0" fillId="0" borderId="0" xfId="0" applyNumberFormat="1" applyFont="1" applyAlignment="1">
      <alignment vertical="center"/>
    </xf>
    <xf numFmtId="0" fontId="8" fillId="0" borderId="9" xfId="0" applyNumberFormat="1" applyFont="1" applyBorder="1" applyAlignment="1">
      <alignment horizontal="center" vertical="center" wrapText="1"/>
    </xf>
    <xf numFmtId="0" fontId="70" fillId="9" borderId="11" xfId="0" applyNumberFormat="1" applyFont="1" applyFill="1" applyBorder="1" applyAlignment="1">
      <alignment horizontal="center" vertical="center" wrapText="1"/>
    </xf>
    <xf numFmtId="0" fontId="40" fillId="0" borderId="0" xfId="0" applyNumberFormat="1" applyFont="1" applyAlignment="1">
      <alignment horizontal="center" vertical="center" wrapText="1"/>
    </xf>
    <xf numFmtId="0" fontId="8" fillId="0" borderId="0" xfId="0" applyNumberFormat="1" applyFont="1" applyAlignment="1">
      <alignment horizontal="right" vertical="center" wrapText="1"/>
    </xf>
    <xf numFmtId="0" fontId="8" fillId="0" borderId="0" xfId="0" applyNumberFormat="1" applyFont="1" applyAlignment="1">
      <alignment horizontal="center" vertical="center" wrapText="1"/>
    </xf>
    <xf numFmtId="0" fontId="0" fillId="0" borderId="4" xfId="0" applyNumberFormat="1" applyFont="1" applyBorder="1" applyAlignment="1">
      <alignment horizontal="center" vertical="center" wrapText="1"/>
    </xf>
    <xf numFmtId="0" fontId="8" fillId="9" borderId="4" xfId="0" applyNumberFormat="1" applyFont="1" applyFill="1" applyBorder="1" applyAlignment="1">
      <alignment horizontal="left" vertical="center" wrapText="1"/>
    </xf>
    <xf numFmtId="49" fontId="8" fillId="0" borderId="4" xfId="0" applyNumberFormat="1" applyFont="1" applyBorder="1" applyAlignment="1">
      <alignment horizontal="left" vertical="center" wrapText="1"/>
    </xf>
    <xf numFmtId="49" fontId="39" fillId="0" borderId="0" xfId="0" applyNumberFormat="1" applyFont="1" applyAlignment="1">
      <alignment vertical="center" wrapText="1"/>
    </xf>
    <xf numFmtId="0" fontId="39" fillId="0" borderId="0" xfId="0" applyNumberFormat="1" applyFont="1" applyAlignment="1">
      <alignment horizontal="left" vertical="center" indent="1"/>
    </xf>
    <xf numFmtId="0" fontId="39" fillId="0" borderId="0" xfId="0" applyNumberFormat="1" applyFont="1" applyAlignment="1">
      <alignment horizontal="center" vertical="center"/>
    </xf>
    <xf numFmtId="0" fontId="39" fillId="0" borderId="0" xfId="0" applyNumberFormat="1" applyFont="1" applyAlignment="1">
      <alignment horizontal="left" vertical="center" wrapText="1"/>
    </xf>
    <xf numFmtId="0" fontId="39" fillId="0" borderId="0" xfId="0" applyNumberFormat="1" applyFont="1" applyAlignment="1">
      <alignment vertical="center" wrapText="1"/>
    </xf>
    <xf numFmtId="49" fontId="39" fillId="0" borderId="4" xfId="0" applyNumberFormat="1" applyFont="1" applyBorder="1" applyAlignment="1">
      <alignment vertical="center" wrapText="1"/>
    </xf>
    <xf numFmtId="0" fontId="39" fillId="0" borderId="0" xfId="0" applyNumberFormat="1" applyFont="1" applyAlignment="1">
      <alignment vertical="center"/>
    </xf>
    <xf numFmtId="0" fontId="39" fillId="0" borderId="0" xfId="0" applyNumberFormat="1" applyFont="1" applyAlignment="1">
      <alignment horizontal="center" vertical="center"/>
    </xf>
    <xf numFmtId="0" fontId="39" fillId="0" borderId="0" xfId="0" applyNumberFormat="1" applyFont="1" applyAlignment="1">
      <alignment vertical="center"/>
    </xf>
    <xf numFmtId="0" fontId="59" fillId="0" borderId="0" xfId="0" applyNumberFormat="1" applyFont="1" applyAlignment="1">
      <alignment vertical="center" wrapText="1"/>
    </xf>
    <xf numFmtId="0" fontId="0" fillId="0" borderId="7" xfId="0" applyNumberFormat="1" applyFont="1" applyBorder="1" applyAlignment="1">
      <alignment vertical="center"/>
    </xf>
    <xf numFmtId="0" fontId="40" fillId="0" borderId="4" xfId="0" applyNumberFormat="1" applyFont="1" applyBorder="1" applyAlignment="1">
      <alignment horizontal="center" vertical="center" wrapText="1"/>
    </xf>
    <xf numFmtId="0" fontId="63" fillId="0" borderId="0" xfId="0" applyNumberFormat="1" applyFont="1" applyAlignment="1">
      <alignment horizontal="left" vertical="center" indent="1"/>
    </xf>
    <xf numFmtId="0" fontId="63" fillId="0" borderId="0" xfId="0" applyNumberFormat="1" applyFont="1" applyAlignment="1">
      <alignment horizontal="left" vertical="center" indent="1"/>
    </xf>
    <xf numFmtId="0" fontId="40" fillId="0" borderId="4" xfId="0" applyNumberFormat="1" applyFont="1" applyBorder="1" applyAlignment="1">
      <alignment vertical="center" wrapText="1"/>
    </xf>
    <xf numFmtId="0" fontId="63" fillId="0" borderId="0" xfId="0" applyNumberFormat="1" applyFont="1" applyAlignment="1">
      <alignment horizontal="center" vertical="center"/>
    </xf>
    <xf numFmtId="0" fontId="63" fillId="0" borderId="0" xfId="0" applyNumberFormat="1" applyFont="1" applyAlignment="1">
      <alignment horizontal="left" vertical="center" wrapText="1"/>
    </xf>
    <xf numFmtId="49" fontId="63" fillId="0" borderId="0" xfId="0" applyNumberFormat="1" applyFont="1" applyAlignment="1">
      <alignment horizontal="left" vertical="center"/>
    </xf>
    <xf numFmtId="0" fontId="8" fillId="0" borderId="0" xfId="0" applyNumberFormat="1" applyFont="1" applyAlignment="1">
      <alignment horizontal="center" vertical="center"/>
    </xf>
    <xf numFmtId="0" fontId="63" fillId="0" borderId="0" xfId="0" applyNumberFormat="1" applyFont="1" applyAlignment="1">
      <alignment horizontal="center" vertical="center"/>
    </xf>
    <xf numFmtId="0" fontId="40" fillId="0" borderId="4" xfId="0" applyNumberFormat="1" applyFont="1" applyBorder="1" applyAlignment="1">
      <alignment horizontal="left" vertical="center" wrapText="1" indent="4"/>
    </xf>
    <xf numFmtId="0" fontId="40" fillId="0" borderId="4" xfId="0" applyNumberFormat="1" applyFont="1" applyBorder="1" applyAlignment="1">
      <alignment horizontal="left" vertical="center" wrapText="1" indent="6"/>
    </xf>
    <xf numFmtId="0" fontId="40" fillId="0" borderId="4" xfId="0" applyNumberFormat="1" applyFont="1" applyBorder="1" applyAlignment="1">
      <alignment vertical="top" wrapText="1"/>
    </xf>
    <xf numFmtId="49" fontId="87" fillId="0" borderId="6" xfId="0" applyNumberFormat="1" applyFont="1" applyBorder="1" applyAlignment="1">
      <alignment horizontal="left" vertical="center"/>
    </xf>
    <xf numFmtId="49" fontId="40" fillId="0" borderId="7" xfId="0" applyNumberFormat="1" applyFont="1" applyBorder="1" applyAlignment="1">
      <alignment horizontal="left" vertical="center" indent="4"/>
    </xf>
    <xf numFmtId="49" fontId="40" fillId="0" borderId="7" xfId="0" applyNumberFormat="1" applyFont="1" applyBorder="1" applyAlignment="1">
      <alignment horizontal="center" vertical="center" wrapText="1"/>
    </xf>
    <xf numFmtId="49" fontId="40" fillId="0" borderId="5" xfId="0" applyNumberFormat="1" applyFont="1" applyBorder="1" applyAlignment="1">
      <alignment horizontal="center" vertical="center" wrapText="1"/>
    </xf>
    <xf numFmtId="0" fontId="8" fillId="6" borderId="4" xfId="0" applyNumberFormat="1" applyFont="1" applyFill="1" applyBorder="1" applyAlignment="1" applyProtection="1">
      <alignment horizontal="left" vertical="center" wrapText="1" indent="7"/>
      <protection locked="0"/>
    </xf>
    <xf numFmtId="0" fontId="8" fillId="13" borderId="7" xfId="0" applyNumberFormat="1" applyFont="1" applyFill="1" applyBorder="1" applyAlignment="1">
      <alignment horizontal="left" vertical="center" wrapText="1" indent="6"/>
    </xf>
    <xf numFmtId="0" fontId="8" fillId="15" borderId="4" xfId="0" applyNumberFormat="1" applyFont="1" applyFill="1" applyBorder="1" applyAlignment="1">
      <alignment horizontal="left" vertical="center" wrapText="1" indent="1"/>
    </xf>
    <xf numFmtId="0" fontId="40" fillId="0" borderId="4" xfId="0" applyNumberFormat="1" applyFont="1" applyBorder="1" applyAlignment="1">
      <alignment horizontal="left" vertical="center" wrapText="1" indent="5"/>
    </xf>
    <xf numFmtId="49" fontId="63" fillId="0" borderId="16" xfId="0" applyNumberFormat="1" applyFont="1" applyBorder="1">
      <alignment vertical="top"/>
    </xf>
    <xf numFmtId="49" fontId="40" fillId="0" borderId="16" xfId="0" applyNumberFormat="1" applyFont="1" applyBorder="1">
      <alignment vertical="top"/>
    </xf>
    <xf numFmtId="0" fontId="8" fillId="0" borderId="4" xfId="0" applyNumberFormat="1" applyFont="1" applyBorder="1" applyAlignment="1">
      <alignment horizontal="left" vertical="center" wrapText="1" indent="1"/>
    </xf>
    <xf numFmtId="49" fontId="40" fillId="0" borderId="4" xfId="0" applyNumberFormat="1" applyFont="1" applyBorder="1" applyAlignment="1">
      <alignment horizontal="center" vertical="center" wrapText="1"/>
    </xf>
    <xf numFmtId="49" fontId="8" fillId="13" borderId="20" xfId="0" applyNumberFormat="1" applyFont="1" applyFill="1" applyBorder="1" applyAlignment="1">
      <alignment horizontal="center" vertical="center" wrapText="1"/>
    </xf>
    <xf numFmtId="49" fontId="39" fillId="0" borderId="0" xfId="0" applyNumberFormat="1" applyFont="1" applyAlignment="1">
      <alignment vertical="center" wrapText="1"/>
    </xf>
    <xf numFmtId="0" fontId="39" fillId="0" borderId="0" xfId="0" applyNumberFormat="1" applyFont="1" applyAlignment="1">
      <alignment horizontal="center" vertical="center" wrapText="1"/>
    </xf>
    <xf numFmtId="0" fontId="46" fillId="9" borderId="0" xfId="0" applyNumberFormat="1" applyFont="1" applyFill="1" applyAlignment="1">
      <alignment horizontal="center" vertical="center" wrapText="1"/>
    </xf>
    <xf numFmtId="0" fontId="46" fillId="0" borderId="0" xfId="0" applyNumberFormat="1" applyFont="1" applyAlignment="1">
      <alignment vertical="center" wrapText="1"/>
    </xf>
    <xf numFmtId="0" fontId="40" fillId="0" borderId="0" xfId="0" applyNumberFormat="1" applyFont="1" applyAlignment="1">
      <alignment vertical="center"/>
    </xf>
    <xf numFmtId="0" fontId="41" fillId="0" borderId="0" xfId="0" applyNumberFormat="1" applyFont="1" applyAlignment="1">
      <alignment vertical="center"/>
    </xf>
    <xf numFmtId="0" fontId="40" fillId="0" borderId="0" xfId="0" applyNumberFormat="1" applyFont="1" applyAlignment="1">
      <alignment vertical="center"/>
    </xf>
    <xf numFmtId="0" fontId="40" fillId="0" borderId="0" xfId="0" applyNumberFormat="1" applyFont="1" applyAlignment="1">
      <alignment vertical="center"/>
    </xf>
    <xf numFmtId="49" fontId="8" fillId="0" borderId="0" xfId="0" applyNumberFormat="1" applyFont="1" applyAlignment="1">
      <alignment horizontal="center" vertical="center" wrapText="1"/>
    </xf>
    <xf numFmtId="49" fontId="0" fillId="0" borderId="11" xfId="0" applyNumberFormat="1" applyFont="1" applyBorder="1" applyAlignment="1">
      <alignment horizontal="left" vertical="center" wrapText="1"/>
    </xf>
    <xf numFmtId="49" fontId="8" fillId="0" borderId="11" xfId="0" applyNumberFormat="1" applyFont="1" applyBorder="1" applyAlignment="1">
      <alignment horizontal="center" vertical="center" wrapText="1"/>
    </xf>
    <xf numFmtId="0" fontId="39" fillId="0" borderId="0" xfId="0" applyNumberFormat="1" applyFont="1" applyAlignment="1">
      <alignment horizontal="center" vertical="center" wrapText="1"/>
    </xf>
    <xf numFmtId="0" fontId="40" fillId="0" borderId="0" xfId="0" applyNumberFormat="1" applyFont="1" applyAlignment="1">
      <alignment horizontal="center" vertical="center" wrapText="1"/>
    </xf>
    <xf numFmtId="0" fontId="8" fillId="0" borderId="0" xfId="0" applyNumberFormat="1" applyFont="1" applyAlignment="1">
      <alignment horizontal="center" vertical="center" wrapText="1"/>
    </xf>
    <xf numFmtId="49" fontId="8" fillId="0" borderId="4" xfId="0" applyNumberFormat="1" applyFont="1" applyBorder="1" applyAlignment="1">
      <alignment horizontal="left" vertical="center" wrapText="1"/>
    </xf>
    <xf numFmtId="0" fontId="8" fillId="9" borderId="4" xfId="0" applyNumberFormat="1" applyFont="1" applyFill="1" applyBorder="1" applyAlignment="1">
      <alignment horizontal="left" vertical="center" wrapText="1"/>
    </xf>
    <xf numFmtId="0" fontId="40" fillId="0" borderId="0" xfId="0" applyNumberFormat="1" applyFont="1" applyAlignment="1">
      <alignment horizontal="center" vertical="center"/>
    </xf>
    <xf numFmtId="49" fontId="8" fillId="0" borderId="0" xfId="0" applyNumberFormat="1" applyFont="1" applyAlignment="1">
      <alignment horizontal="center" vertical="top"/>
    </xf>
    <xf numFmtId="49" fontId="25" fillId="0" borderId="0" xfId="0" applyNumberFormat="1" applyFont="1" applyAlignment="1">
      <alignment horizontal="center" vertical="center"/>
    </xf>
    <xf numFmtId="0" fontId="0" fillId="0" borderId="0" xfId="0" applyNumberFormat="1" applyFont="1" applyAlignment="1">
      <alignment horizontal="left" vertical="center"/>
    </xf>
    <xf numFmtId="0" fontId="44"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33" fillId="13" borderId="22" xfId="0" applyNumberFormat="1" applyFont="1" applyFill="1" applyBorder="1" applyAlignment="1">
      <alignment horizontal="left" vertical="center"/>
    </xf>
    <xf numFmtId="49" fontId="40" fillId="0" borderId="6" xfId="0" applyNumberFormat="1" applyFont="1" applyBorder="1" applyAlignment="1">
      <alignment horizontal="left" vertical="center" wrapText="1"/>
    </xf>
    <xf numFmtId="0" fontId="40" fillId="0" borderId="6" xfId="0" applyNumberFormat="1" applyFont="1" applyBorder="1" applyAlignment="1">
      <alignment horizontal="left" vertical="center"/>
    </xf>
    <xf numFmtId="0" fontId="40" fillId="0" borderId="7" xfId="0" applyNumberFormat="1" applyFont="1" applyBorder="1" applyAlignment="1">
      <alignment horizontal="left" vertical="center"/>
    </xf>
    <xf numFmtId="49" fontId="8" fillId="6" borderId="4" xfId="0" applyNumberFormat="1" applyFont="1" applyFill="1" applyBorder="1" applyAlignment="1" applyProtection="1">
      <alignment horizontal="left" vertical="center" wrapText="1" indent="6"/>
      <protection locked="0"/>
    </xf>
    <xf numFmtId="49" fontId="0" fillId="13" borderId="22" xfId="0" applyNumberFormat="1" applyFont="1" applyFill="1" applyBorder="1" applyAlignment="1">
      <alignment horizontal="center" vertical="center" wrapText="1"/>
    </xf>
    <xf numFmtId="0" fontId="101" fillId="0" borderId="0" xfId="0" applyNumberFormat="1" applyFont="1" applyAlignment="1">
      <alignment vertical="center" wrapText="1"/>
    </xf>
    <xf numFmtId="49" fontId="8" fillId="0" borderId="11" xfId="0" applyNumberFormat="1" applyFont="1" applyBorder="1" applyAlignment="1">
      <alignment horizontal="center" vertical="center" wrapText="1"/>
    </xf>
    <xf numFmtId="49" fontId="8" fillId="0" borderId="0" xfId="0" applyNumberFormat="1" applyFont="1" applyAlignment="1">
      <alignment horizontal="center" vertical="center" wrapText="1"/>
    </xf>
    <xf numFmtId="49" fontId="0" fillId="0" borderId="11" xfId="0" applyNumberFormat="1" applyFont="1" applyBorder="1" applyAlignment="1">
      <alignment horizontal="left" vertical="center" wrapText="1"/>
    </xf>
    <xf numFmtId="0" fontId="39" fillId="0" borderId="0" xfId="0" applyNumberFormat="1" applyFont="1" applyAlignment="1">
      <alignment horizontal="center" vertical="center" wrapText="1"/>
    </xf>
    <xf numFmtId="0" fontId="8" fillId="9" borderId="4" xfId="0" applyNumberFormat="1" applyFont="1" applyFill="1" applyBorder="1" applyAlignment="1">
      <alignment horizontal="center" vertical="center" wrapText="1"/>
    </xf>
    <xf numFmtId="0" fontId="8" fillId="0" borderId="0" xfId="0" applyNumberFormat="1" applyFont="1" applyAlignment="1">
      <alignment horizontal="left" vertical="top" wrapText="1"/>
    </xf>
    <xf numFmtId="0" fontId="40" fillId="0" borderId="0" xfId="0" applyNumberFormat="1" applyFont="1" applyAlignment="1">
      <alignment horizontal="center" vertical="center" wrapText="1"/>
    </xf>
    <xf numFmtId="0" fontId="70" fillId="9" borderId="11" xfId="0" applyNumberFormat="1" applyFont="1" applyFill="1" applyBorder="1" applyAlignment="1">
      <alignment horizontal="center" vertical="center" wrapText="1"/>
    </xf>
    <xf numFmtId="0" fontId="8" fillId="0" borderId="9" xfId="0" applyNumberFormat="1" applyFont="1" applyBorder="1" applyAlignment="1">
      <alignment horizontal="center" vertical="center" wrapText="1"/>
    </xf>
    <xf numFmtId="0" fontId="8" fillId="0" borderId="0" xfId="0" applyNumberFormat="1" applyFont="1" applyAlignment="1">
      <alignment horizontal="center" vertical="center" wrapText="1"/>
    </xf>
    <xf numFmtId="0" fontId="8" fillId="0" borderId="0" xfId="0" applyNumberFormat="1" applyFont="1" applyAlignment="1">
      <alignment horizontal="right" vertical="center" wrapText="1"/>
    </xf>
    <xf numFmtId="0" fontId="0" fillId="0" borderId="4" xfId="0" applyNumberFormat="1" applyFont="1" applyBorder="1" applyAlignment="1">
      <alignment horizontal="center" vertical="center" wrapText="1"/>
    </xf>
    <xf numFmtId="49" fontId="8" fillId="0" borderId="4" xfId="0" applyNumberFormat="1" applyFont="1" applyBorder="1" applyAlignment="1">
      <alignment horizontal="left" vertical="center" wrapText="1"/>
    </xf>
    <xf numFmtId="0" fontId="8" fillId="9" borderId="4" xfId="0" applyNumberFormat="1" applyFont="1" applyFill="1" applyBorder="1" applyAlignment="1">
      <alignment horizontal="left" vertical="center" wrapText="1"/>
    </xf>
    <xf numFmtId="0" fontId="40" fillId="0" borderId="0" xfId="0" applyNumberFormat="1" applyFont="1" applyAlignment="1">
      <alignment horizontal="center" vertical="center"/>
    </xf>
    <xf numFmtId="49" fontId="8" fillId="15" borderId="4" xfId="0" applyNumberFormat="1" applyFont="1" applyFill="1" applyBorder="1" applyAlignment="1">
      <alignment horizontal="center" vertical="center" wrapText="1"/>
    </xf>
    <xf numFmtId="49" fontId="40" fillId="0" borderId="4" xfId="0" applyNumberFormat="1" applyFont="1" applyBorder="1" applyAlignment="1">
      <alignment horizontal="center" vertical="center" wrapText="1"/>
    </xf>
    <xf numFmtId="0" fontId="40" fillId="0" borderId="0" xfId="0" applyNumberFormat="1" applyFont="1" applyAlignment="1">
      <alignment horizontal="center" vertical="center" wrapText="1"/>
    </xf>
    <xf numFmtId="49" fontId="8" fillId="9" borderId="4" xfId="0" applyNumberFormat="1" applyFont="1" applyFill="1" applyBorder="1" applyAlignment="1">
      <alignment horizontal="center" vertical="center" wrapText="1"/>
    </xf>
    <xf numFmtId="0" fontId="40" fillId="0" borderId="0" xfId="0" applyNumberFormat="1" applyFont="1" applyAlignment="1">
      <alignment horizontal="center" vertical="center"/>
    </xf>
    <xf numFmtId="0" fontId="8" fillId="9" borderId="4" xfId="0" applyNumberFormat="1" applyFont="1" applyFill="1" applyBorder="1" applyAlignment="1">
      <alignment horizontal="left" vertical="center" wrapText="1"/>
    </xf>
    <xf numFmtId="49" fontId="8" fillId="14" borderId="4" xfId="0" applyNumberFormat="1" applyFont="1" applyFill="1" applyBorder="1" applyAlignment="1" applyProtection="1">
      <alignment horizontal="left" vertical="center" wrapText="1" indent="1"/>
      <protection locked="0"/>
    </xf>
    <xf numFmtId="0" fontId="8" fillId="0" borderId="0" xfId="0" applyNumberFormat="1" applyFont="1" applyAlignment="1">
      <alignment horizontal="center" vertical="center" wrapText="1"/>
    </xf>
    <xf numFmtId="49" fontId="8" fillId="15" borderId="4" xfId="0" applyNumberFormat="1" applyFont="1" applyFill="1" applyBorder="1" applyAlignment="1">
      <alignment horizontal="center" vertical="center" wrapText="1"/>
    </xf>
    <xf numFmtId="49" fontId="8" fillId="0" borderId="11" xfId="0" applyNumberFormat="1" applyFont="1" applyBorder="1" applyAlignment="1">
      <alignment horizontal="center" vertical="center" wrapText="1"/>
    </xf>
    <xf numFmtId="49" fontId="8" fillId="0" borderId="0" xfId="0" applyNumberFormat="1" applyFont="1" applyAlignment="1">
      <alignment horizontal="center" vertical="center" wrapText="1"/>
    </xf>
    <xf numFmtId="49" fontId="0" fillId="0" borderId="11" xfId="0" applyNumberFormat="1" applyFont="1" applyBorder="1" applyAlignment="1">
      <alignment horizontal="left" vertical="center" wrapText="1"/>
    </xf>
    <xf numFmtId="49" fontId="8" fillId="9" borderId="4" xfId="34" applyNumberFormat="1" applyFont="1" applyFill="1" applyBorder="1" applyAlignment="1">
      <alignment horizontal="center" vertical="center" wrapText="1"/>
    </xf>
    <xf numFmtId="0" fontId="40" fillId="9" borderId="0" xfId="0" applyNumberFormat="1" applyFont="1" applyFill="1" applyAlignment="1">
      <alignment horizontal="center" vertical="center" wrapText="1"/>
    </xf>
    <xf numFmtId="0" fontId="0" fillId="9" borderId="4" xfId="0" applyNumberFormat="1" applyFont="1" applyFill="1" applyBorder="1" applyAlignment="1">
      <alignment horizontal="center" vertical="center" wrapText="1"/>
    </xf>
    <xf numFmtId="0" fontId="8" fillId="9" borderId="16" xfId="0" applyNumberFormat="1" applyFont="1" applyFill="1" applyBorder="1" applyAlignment="1">
      <alignment horizontal="center" vertical="center" wrapText="1"/>
    </xf>
    <xf numFmtId="0" fontId="39" fillId="0" borderId="0" xfId="0" applyNumberFormat="1" applyFont="1" applyAlignment="1">
      <alignment horizontal="center" vertical="center" wrapText="1"/>
    </xf>
    <xf numFmtId="0" fontId="8" fillId="9" borderId="4" xfId="0" applyNumberFormat="1" applyFont="1" applyFill="1" applyBorder="1" applyAlignment="1">
      <alignment horizontal="center" vertical="center" wrapText="1"/>
    </xf>
    <xf numFmtId="0" fontId="8" fillId="0" borderId="0" xfId="0" applyNumberFormat="1" applyFont="1" applyAlignment="1">
      <alignment horizontal="left" vertical="top" wrapText="1"/>
    </xf>
    <xf numFmtId="0" fontId="40" fillId="0" borderId="0" xfId="0" applyNumberFormat="1" applyFont="1" applyAlignment="1">
      <alignment horizontal="center" vertical="center" wrapText="1"/>
    </xf>
    <xf numFmtId="0" fontId="70" fillId="9" borderId="11" xfId="0" applyNumberFormat="1" applyFont="1" applyFill="1" applyBorder="1" applyAlignment="1">
      <alignment horizontal="center" vertical="center" wrapText="1"/>
    </xf>
    <xf numFmtId="0" fontId="8" fillId="0" borderId="9" xfId="0" applyNumberFormat="1" applyFont="1" applyBorder="1" applyAlignment="1">
      <alignment horizontal="center" vertical="center" wrapText="1"/>
    </xf>
    <xf numFmtId="0" fontId="8" fillId="0" borderId="4" xfId="0" applyNumberFormat="1" applyFont="1" applyBorder="1" applyAlignment="1">
      <alignment horizontal="center" vertical="center" wrapText="1"/>
    </xf>
    <xf numFmtId="49" fontId="40" fillId="0" borderId="4" xfId="0" applyNumberFormat="1" applyFont="1" applyBorder="1" applyAlignment="1">
      <alignment horizontal="center" vertical="center" wrapText="1"/>
    </xf>
    <xf numFmtId="49" fontId="8" fillId="9" borderId="4" xfId="0" applyNumberFormat="1" applyFont="1" applyFill="1" applyBorder="1" applyAlignment="1">
      <alignment horizontal="center" vertical="center" wrapText="1"/>
    </xf>
    <xf numFmtId="0" fontId="8" fillId="0" borderId="0" xfId="0" applyNumberFormat="1" applyFont="1" applyAlignment="1">
      <alignment horizontal="center" vertical="center" wrapText="1"/>
    </xf>
    <xf numFmtId="0" fontId="8" fillId="0" borderId="0" xfId="0" applyNumberFormat="1" applyFont="1" applyAlignment="1">
      <alignment horizontal="right" vertical="center" wrapText="1"/>
    </xf>
    <xf numFmtId="0" fontId="0" fillId="0" borderId="4" xfId="0" applyNumberFormat="1" applyFont="1" applyBorder="1" applyAlignment="1">
      <alignment horizontal="center" vertical="center" wrapText="1"/>
    </xf>
    <xf numFmtId="49" fontId="8" fillId="0" borderId="4" xfId="0" applyNumberFormat="1" applyFont="1" applyBorder="1" applyAlignment="1">
      <alignment horizontal="left" vertical="center" wrapText="1"/>
    </xf>
    <xf numFmtId="49" fontId="8" fillId="15" borderId="4" xfId="0" applyNumberFormat="1" applyFont="1" applyFill="1" applyBorder="1" applyAlignment="1">
      <alignment horizontal="left" vertical="center" wrapText="1"/>
    </xf>
    <xf numFmtId="49" fontId="8" fillId="14" borderId="4" xfId="0" applyNumberFormat="1" applyFont="1" applyFill="1" applyBorder="1" applyAlignment="1" applyProtection="1">
      <alignment horizontal="left" vertical="center" wrapText="1" indent="1"/>
      <protection locked="0"/>
    </xf>
    <xf numFmtId="0" fontId="8" fillId="9" borderId="4" xfId="0" applyNumberFormat="1" applyFont="1" applyFill="1" applyBorder="1" applyAlignment="1">
      <alignment horizontal="left" vertical="center" wrapText="1"/>
    </xf>
    <xf numFmtId="0" fontId="40" fillId="0" borderId="0" xfId="0" applyNumberFormat="1" applyFont="1" applyAlignment="1">
      <alignment horizontal="center" vertical="center"/>
    </xf>
    <xf numFmtId="0" fontId="30" fillId="0" borderId="0" xfId="0" applyNumberFormat="1" applyFont="1" applyAlignment="1">
      <alignment horizontal="center" vertical="center" wrapText="1"/>
    </xf>
    <xf numFmtId="0" fontId="102" fillId="0" borderId="0" xfId="0" applyNumberFormat="1" applyFont="1" applyAlignment="1">
      <alignment vertical="center" wrapText="1"/>
    </xf>
    <xf numFmtId="0" fontId="102" fillId="9" borderId="0" xfId="0" applyNumberFormat="1" applyFont="1" applyFill="1" applyAlignment="1">
      <alignment horizontal="center" vertical="center" wrapText="1"/>
    </xf>
    <xf numFmtId="0" fontId="40" fillId="9" borderId="4" xfId="0" applyNumberFormat="1" applyFont="1" applyFill="1" applyBorder="1" applyAlignment="1">
      <alignment horizontal="left" vertical="center" wrapText="1" indent="3"/>
    </xf>
    <xf numFmtId="49" fontId="33" fillId="13" borderId="20" xfId="0" applyNumberFormat="1" applyFont="1" applyFill="1" applyBorder="1" applyAlignment="1">
      <alignment horizontal="left" vertical="center"/>
    </xf>
    <xf numFmtId="0" fontId="102" fillId="0" borderId="0" xfId="0" applyNumberFormat="1" applyFont="1" applyAlignment="1">
      <alignment horizontal="center" vertical="center" wrapText="1"/>
    </xf>
    <xf numFmtId="49" fontId="40" fillId="0" borderId="0" xfId="0" applyNumberFormat="1" applyFont="1" applyAlignment="1">
      <alignment horizontal="left" vertical="center" wrapText="1" indent="1"/>
    </xf>
    <xf numFmtId="0" fontId="40" fillId="0" borderId="0" xfId="0" applyNumberFormat="1" applyFont="1" applyAlignment="1">
      <alignment horizontal="left" vertical="center" wrapText="1" indent="4"/>
    </xf>
    <xf numFmtId="0" fontId="40" fillId="0" borderId="0" xfId="0" applyNumberFormat="1" applyFont="1" applyAlignment="1">
      <alignment horizontal="left" vertical="center" wrapText="1" indent="1"/>
    </xf>
    <xf numFmtId="49" fontId="8" fillId="13" borderId="6" xfId="0" applyNumberFormat="1" applyFont="1" applyFill="1" applyBorder="1" applyAlignment="1">
      <alignment horizontal="center" vertical="center" wrapText="1"/>
    </xf>
    <xf numFmtId="0" fontId="40" fillId="0" borderId="16" xfId="0" applyNumberFormat="1" applyFont="1" applyBorder="1" applyAlignment="1">
      <alignment horizontal="left" vertical="center" wrapText="1" indent="1"/>
    </xf>
    <xf numFmtId="0" fontId="39" fillId="0" borderId="0" xfId="0" applyNumberFormat="1" applyFont="1" applyAlignment="1">
      <alignment horizontal="left" vertical="center"/>
    </xf>
    <xf numFmtId="49" fontId="39" fillId="0" borderId="0" xfId="0" applyNumberFormat="1" applyFont="1" applyAlignment="1">
      <alignment horizontal="left" vertical="center"/>
    </xf>
    <xf numFmtId="0" fontId="39" fillId="0" borderId="0" xfId="0" applyNumberFormat="1" applyFont="1" applyAlignment="1">
      <alignment horizontal="left" vertical="center"/>
    </xf>
    <xf numFmtId="0" fontId="59" fillId="0" borderId="0" xfId="0" applyNumberFormat="1" applyFont="1" applyAlignment="1">
      <alignment horizontal="left" vertical="center"/>
    </xf>
    <xf numFmtId="0" fontId="40" fillId="0" borderId="0" xfId="0" applyNumberFormat="1" applyFont="1" applyAlignment="1">
      <alignment horizontal="left" vertical="center"/>
    </xf>
    <xf numFmtId="49" fontId="0" fillId="0" borderId="0" xfId="0" applyNumberFormat="1" applyFont="1">
      <alignment vertical="top"/>
    </xf>
    <xf numFmtId="49" fontId="8" fillId="0" borderId="0" xfId="0" applyNumberFormat="1" applyFont="1" applyAlignment="1">
      <alignment horizontal="center" vertical="center" wrapText="1"/>
    </xf>
    <xf numFmtId="49" fontId="8" fillId="0" borderId="11" xfId="0" applyNumberFormat="1" applyFont="1" applyBorder="1" applyAlignment="1">
      <alignment horizontal="center" vertical="center" wrapText="1"/>
    </xf>
    <xf numFmtId="49" fontId="8" fillId="0" borderId="11" xfId="0" applyNumberFormat="1" applyFont="1" applyBorder="1" applyAlignment="1">
      <alignment horizontal="left" vertical="center" wrapText="1"/>
    </xf>
    <xf numFmtId="49" fontId="8" fillId="0" borderId="4" xfId="0" applyNumberFormat="1" applyFont="1" applyBorder="1" applyAlignment="1">
      <alignment horizontal="center" vertical="center" wrapText="1"/>
    </xf>
    <xf numFmtId="49" fontId="8" fillId="6" borderId="4" xfId="0" applyNumberFormat="1" applyFont="1" applyFill="1" applyBorder="1" applyAlignment="1" applyProtection="1">
      <alignment horizontal="left" vertical="center" wrapText="1"/>
      <protection locked="0"/>
    </xf>
    <xf numFmtId="0" fontId="30" fillId="0" borderId="0" xfId="0" applyNumberFormat="1" applyFont="1" applyAlignment="1">
      <alignment horizontal="center" vertical="center" wrapText="1"/>
    </xf>
    <xf numFmtId="0" fontId="30" fillId="9" borderId="0" xfId="0" applyNumberFormat="1" applyFont="1" applyFill="1" applyAlignment="1">
      <alignment horizontal="center" vertical="center" wrapText="1"/>
    </xf>
    <xf numFmtId="49" fontId="40" fillId="0" borderId="0" xfId="0" applyNumberFormat="1" applyFont="1" applyAlignment="1">
      <alignment horizontal="left" vertical="center" indent="1"/>
    </xf>
    <xf numFmtId="49" fontId="39" fillId="0" borderId="0" xfId="0" applyNumberFormat="1" applyFont="1" applyAlignment="1">
      <alignment horizontal="left" vertical="center"/>
    </xf>
    <xf numFmtId="49" fontId="39" fillId="0" borderId="0" xfId="0" applyNumberFormat="1" applyFont="1" applyAlignment="1">
      <alignment horizontal="left" vertical="center"/>
    </xf>
    <xf numFmtId="49" fontId="39" fillId="0" borderId="0" xfId="0" applyNumberFormat="1" applyFont="1" applyAlignment="1">
      <alignment horizontal="left" vertical="top"/>
    </xf>
    <xf numFmtId="49" fontId="8" fillId="9" borderId="4" xfId="34" applyNumberFormat="1" applyFont="1" applyFill="1" applyBorder="1" applyAlignment="1">
      <alignment horizontal="center" vertical="center"/>
    </xf>
    <xf numFmtId="0" fontId="8" fillId="0" borderId="4" xfId="0" applyNumberFormat="1" applyFont="1" applyBorder="1" applyAlignment="1">
      <alignment horizontal="center" vertical="center" wrapText="1"/>
    </xf>
    <xf numFmtId="0" fontId="8" fillId="9" borderId="4" xfId="0" applyNumberFormat="1" applyFont="1" applyFill="1" applyBorder="1" applyAlignment="1">
      <alignment horizontal="left" vertical="center" wrapText="1" indent="1"/>
    </xf>
    <xf numFmtId="49" fontId="8" fillId="0" borderId="4" xfId="34" applyNumberFormat="1" applyFont="1" applyBorder="1" applyAlignment="1">
      <alignment horizontal="center" vertical="center"/>
    </xf>
    <xf numFmtId="0" fontId="8" fillId="0" borderId="4" xfId="0" applyNumberFormat="1" applyFont="1" applyBorder="1" applyAlignment="1">
      <alignment horizontal="left" vertical="center" wrapText="1" indent="1"/>
    </xf>
    <xf numFmtId="0" fontId="8" fillId="0" borderId="4" xfId="0" applyNumberFormat="1" applyFont="1" applyBorder="1" applyAlignment="1">
      <alignment vertical="center" wrapText="1"/>
    </xf>
    <xf numFmtId="49" fontId="8" fillId="14" borderId="4" xfId="0" applyNumberFormat="1" applyFont="1" applyFill="1" applyBorder="1" applyAlignment="1" applyProtection="1">
      <alignment horizontal="left" vertical="center" wrapText="1"/>
      <protection locked="0"/>
    </xf>
    <xf numFmtId="0" fontId="8" fillId="9" borderId="4" xfId="0" applyNumberFormat="1" applyFont="1" applyFill="1" applyBorder="1" applyAlignment="1">
      <alignment horizontal="left" vertical="center" wrapText="1"/>
    </xf>
    <xf numFmtId="0" fontId="40" fillId="9" borderId="4" xfId="34" applyFont="1" applyFill="1" applyBorder="1" applyAlignment="1">
      <alignment horizontal="center" vertical="center"/>
    </xf>
    <xf numFmtId="0" fontId="63" fillId="9" borderId="0" xfId="0" applyNumberFormat="1" applyFont="1" applyFill="1" applyAlignment="1">
      <alignment vertical="center" wrapText="1"/>
    </xf>
    <xf numFmtId="49" fontId="8" fillId="6" borderId="4" xfId="0" applyNumberFormat="1" applyFont="1" applyFill="1" applyBorder="1" applyAlignment="1" applyProtection="1">
      <alignment horizontal="left" vertical="center" wrapText="1"/>
      <protection locked="0"/>
    </xf>
    <xf numFmtId="0" fontId="74" fillId="9" borderId="0" xfId="0" applyNumberFormat="1" applyFont="1" applyFill="1" applyAlignment="1"/>
    <xf numFmtId="0" fontId="58" fillId="9" borderId="0" xfId="0" applyNumberFormat="1" applyFont="1" applyFill="1" applyAlignment="1"/>
    <xf numFmtId="14" fontId="8" fillId="14" borderId="15" xfId="0" applyNumberFormat="1" applyFont="1" applyFill="1" applyBorder="1" applyAlignment="1" applyProtection="1">
      <alignment horizontal="left" vertical="center" wrapText="1" indent="1"/>
      <protection locked="0"/>
    </xf>
    <xf numFmtId="0" fontId="103" fillId="0" borderId="0" xfId="0" applyNumberFormat="1" applyFont="1" applyAlignment="1">
      <alignment vertical="center"/>
    </xf>
    <xf numFmtId="0" fontId="103" fillId="0" borderId="0" xfId="0" applyNumberFormat="1" applyFont="1" applyAlignment="1">
      <alignment vertical="center" wrapText="1"/>
    </xf>
    <xf numFmtId="171" fontId="8" fillId="0" borderId="15" xfId="0" applyNumberFormat="1" applyFont="1" applyBorder="1" applyAlignment="1">
      <alignment horizontal="center" vertical="center" wrapText="1"/>
    </xf>
    <xf numFmtId="14" fontId="8" fillId="14" borderId="4" xfId="0" applyNumberFormat="1" applyFont="1" applyFill="1" applyBorder="1" applyAlignment="1" applyProtection="1">
      <alignment horizontal="left" vertical="center" wrapText="1" indent="1"/>
      <protection locked="0"/>
    </xf>
    <xf numFmtId="0" fontId="8" fillId="11" borderId="15" xfId="0" applyNumberFormat="1" applyFont="1" applyFill="1" applyBorder="1" applyAlignment="1">
      <alignment horizontal="left" vertical="center" wrapText="1" indent="1"/>
    </xf>
    <xf numFmtId="171" fontId="8" fillId="0" borderId="9" xfId="0" applyNumberFormat="1" applyFont="1" applyBorder="1" applyAlignment="1">
      <alignment horizontal="center" vertical="center" wrapText="1"/>
    </xf>
    <xf numFmtId="49" fontId="19" fillId="13" borderId="19" xfId="0" applyNumberFormat="1" applyFont="1" applyFill="1" applyBorder="1" applyAlignment="1">
      <alignment horizontal="right" vertical="center" wrapText="1"/>
    </xf>
    <xf numFmtId="49" fontId="0" fillId="13" borderId="20" xfId="0" applyNumberFormat="1" applyFont="1" applyFill="1" applyBorder="1" applyAlignment="1">
      <alignment horizontal="right" vertical="center" wrapText="1"/>
    </xf>
    <xf numFmtId="49" fontId="0" fillId="13" borderId="4" xfId="0" applyNumberFormat="1" applyFont="1" applyFill="1" applyBorder="1" applyAlignment="1">
      <alignment horizontal="right" vertical="center" wrapText="1"/>
    </xf>
    <xf numFmtId="49" fontId="19" fillId="13" borderId="20" xfId="0" applyNumberFormat="1" applyFont="1" applyFill="1" applyBorder="1" applyAlignment="1">
      <alignment horizontal="right" vertical="center" wrapText="1"/>
    </xf>
    <xf numFmtId="49" fontId="13" fillId="14" borderId="15" xfId="0" applyNumberFormat="1" applyFont="1" applyFill="1" applyBorder="1" applyAlignment="1" applyProtection="1">
      <alignment horizontal="left" vertical="center" wrapText="1"/>
      <protection locked="0"/>
    </xf>
    <xf numFmtId="49" fontId="13" fillId="14" borderId="19" xfId="0" applyNumberFormat="1" applyFont="1" applyFill="1" applyBorder="1" applyAlignment="1" applyProtection="1">
      <alignment horizontal="left" vertical="center" wrapText="1"/>
      <protection locked="0"/>
    </xf>
    <xf numFmtId="49" fontId="13" fillId="13" borderId="20" xfId="0" applyNumberFormat="1" applyFont="1" applyFill="1" applyBorder="1" applyAlignment="1">
      <alignment horizontal="left" vertical="center" wrapText="1"/>
    </xf>
    <xf numFmtId="49" fontId="13" fillId="13" borderId="15" xfId="0" applyNumberFormat="1" applyFont="1" applyFill="1" applyBorder="1" applyAlignment="1">
      <alignment horizontal="left" vertical="center" wrapText="1"/>
    </xf>
    <xf numFmtId="0" fontId="40" fillId="0" borderId="20" xfId="0" applyNumberFormat="1" applyFont="1" applyBorder="1" applyAlignment="1">
      <alignment horizontal="center" vertical="center" wrapText="1"/>
    </xf>
    <xf numFmtId="0" fontId="40" fillId="0" borderId="0" xfId="0" applyNumberFormat="1" applyFont="1" applyAlignment="1">
      <alignment horizontal="center" vertical="center"/>
    </xf>
    <xf numFmtId="0" fontId="40" fillId="0" borderId="0" xfId="0" applyNumberFormat="1" applyFont="1" applyAlignment="1">
      <alignment horizontal="center" vertical="center"/>
    </xf>
    <xf numFmtId="0" fontId="45" fillId="0" borderId="0" xfId="0" applyNumberFormat="1" applyFont="1" applyAlignment="1">
      <alignment horizontal="center" vertical="center"/>
    </xf>
    <xf numFmtId="14" fontId="8" fillId="15" borderId="4" xfId="0" applyNumberFormat="1" applyFont="1" applyFill="1" applyBorder="1" applyAlignment="1">
      <alignment horizontal="left" vertical="center" wrapText="1"/>
    </xf>
    <xf numFmtId="171" fontId="8" fillId="0" borderId="29" xfId="0" applyNumberFormat="1" applyFont="1" applyBorder="1" applyAlignment="1">
      <alignment horizontal="center" vertical="center" wrapText="1"/>
    </xf>
    <xf numFmtId="0" fontId="8" fillId="14" borderId="4" xfId="0" applyNumberFormat="1" applyFont="1" applyFill="1" applyBorder="1" applyAlignment="1" applyProtection="1">
      <alignment horizontal="center" vertical="center" wrapText="1"/>
      <protection locked="0"/>
    </xf>
    <xf numFmtId="0" fontId="39" fillId="9" borderId="0" xfId="0" applyNumberFormat="1" applyFont="1" applyFill="1" applyAlignment="1"/>
    <xf numFmtId="171" fontId="38" fillId="0" borderId="50" xfId="0" applyNumberFormat="1" applyFont="1" applyBorder="1" applyAlignment="1">
      <alignment horizontal="center" vertical="center" wrapText="1"/>
    </xf>
    <xf numFmtId="171" fontId="38" fillId="0" borderId="50" xfId="0" applyNumberFormat="1" applyFont="1" applyBorder="1" applyAlignment="1">
      <alignment horizontal="center" vertical="center" wrapText="1"/>
    </xf>
    <xf numFmtId="49" fontId="13" fillId="14" borderId="20" xfId="0" applyNumberFormat="1" applyFont="1" applyFill="1" applyBorder="1" applyAlignment="1" applyProtection="1">
      <alignment horizontal="left" vertical="center" wrapText="1"/>
      <protection locked="0"/>
    </xf>
    <xf numFmtId="0" fontId="8" fillId="0" borderId="7" xfId="0" applyNumberFormat="1" applyFont="1" applyBorder="1" applyAlignment="1">
      <alignment horizontal="right" vertical="center" wrapText="1" indent="1"/>
    </xf>
    <xf numFmtId="0" fontId="8" fillId="11" borderId="6" xfId="0" applyNumberFormat="1" applyFont="1" applyFill="1" applyBorder="1" applyAlignment="1">
      <alignment horizontal="left" vertical="top" wrapText="1"/>
    </xf>
    <xf numFmtId="49" fontId="40" fillId="0" borderId="0" xfId="0" applyNumberFormat="1" applyFont="1" applyAlignment="1">
      <alignment horizontal="center" vertical="center"/>
    </xf>
    <xf numFmtId="0" fontId="35" fillId="0" borderId="0" xfId="0" applyNumberFormat="1" applyFont="1" applyAlignment="1">
      <alignment vertical="center"/>
    </xf>
    <xf numFmtId="0" fontId="8" fillId="0" borderId="28" xfId="0" applyNumberFormat="1" applyFont="1" applyBorder="1" applyAlignment="1">
      <alignment horizontal="center" vertical="center" wrapText="1"/>
    </xf>
    <xf numFmtId="0" fontId="8" fillId="0" borderId="29" xfId="0" applyNumberFormat="1" applyFont="1" applyBorder="1" applyAlignment="1">
      <alignment horizontal="center" vertical="center" wrapText="1"/>
    </xf>
    <xf numFmtId="0" fontId="8" fillId="0" borderId="9" xfId="0" applyNumberFormat="1" applyFont="1" applyBorder="1" applyAlignment="1">
      <alignment horizontal="center" vertical="center" wrapText="1"/>
    </xf>
    <xf numFmtId="0" fontId="8" fillId="0" borderId="14" xfId="0" applyNumberFormat="1" applyFont="1" applyBorder="1" applyAlignment="1">
      <alignment horizontal="center" vertical="center" wrapText="1"/>
    </xf>
    <xf numFmtId="49" fontId="8" fillId="0" borderId="28" xfId="0" applyNumberFormat="1" applyFont="1" applyBorder="1" applyAlignment="1">
      <alignment horizontal="center" vertical="center" wrapText="1"/>
    </xf>
    <xf numFmtId="49" fontId="8" fillId="0" borderId="9" xfId="0" applyNumberFormat="1" applyFont="1" applyBorder="1" applyAlignment="1">
      <alignment horizontal="center" vertical="center" wrapText="1"/>
    </xf>
    <xf numFmtId="0" fontId="8" fillId="0" borderId="28" xfId="0" applyNumberFormat="1" applyFont="1" applyBorder="1" applyAlignment="1">
      <alignment horizontal="left" vertical="center" wrapText="1"/>
    </xf>
    <xf numFmtId="49" fontId="8" fillId="0" borderId="28" xfId="0" applyNumberFormat="1" applyFont="1" applyBorder="1" applyAlignment="1">
      <alignment vertical="center" wrapText="1"/>
    </xf>
    <xf numFmtId="49" fontId="30" fillId="0" borderId="28" xfId="0" applyNumberFormat="1" applyFont="1" applyBorder="1" applyAlignment="1">
      <alignment vertical="center" wrapText="1"/>
    </xf>
    <xf numFmtId="0" fontId="8" fillId="0" borderId="15" xfId="0" applyNumberFormat="1" applyFont="1" applyBorder="1" applyAlignment="1">
      <alignment horizontal="left" vertical="center" wrapText="1"/>
    </xf>
    <xf numFmtId="0" fontId="33" fillId="0" borderId="28" xfId="0" applyNumberFormat="1" applyFont="1" applyBorder="1" applyAlignment="1">
      <alignment horizontal="left" vertical="center"/>
    </xf>
    <xf numFmtId="0" fontId="33" fillId="13" borderId="29" xfId="0" applyNumberFormat="1" applyFont="1" applyFill="1" applyBorder="1" applyAlignment="1">
      <alignment horizontal="left" vertical="center"/>
    </xf>
    <xf numFmtId="0" fontId="8" fillId="0" borderId="29" xfId="0" applyNumberFormat="1" applyFont="1" applyBorder="1" applyAlignment="1">
      <alignment horizontal="center" vertical="center" wrapText="1"/>
    </xf>
    <xf numFmtId="49" fontId="0" fillId="0" borderId="0" xfId="0" applyNumberFormat="1" applyFont="1">
      <alignment vertical="top"/>
    </xf>
    <xf numFmtId="49" fontId="39" fillId="0" borderId="0" xfId="0" applyNumberFormat="1" applyFont="1" applyAlignment="1">
      <alignment horizontal="center" vertical="center"/>
    </xf>
    <xf numFmtId="0" fontId="104" fillId="0" borderId="0" xfId="0" applyNumberFormat="1" applyFont="1" applyAlignment="1">
      <alignment vertical="center" wrapText="1"/>
    </xf>
    <xf numFmtId="0" fontId="105" fillId="0" borderId="0" xfId="0" applyNumberFormat="1" applyFont="1" applyAlignment="1">
      <alignment vertical="center" wrapText="1"/>
    </xf>
    <xf numFmtId="0" fontId="8" fillId="0" borderId="9" xfId="0" applyNumberFormat="1" applyFont="1" applyBorder="1" applyAlignment="1">
      <alignment horizontal="center" vertical="center" wrapText="1"/>
    </xf>
    <xf numFmtId="49" fontId="8" fillId="0" borderId="9" xfId="0" applyNumberFormat="1" applyFont="1" applyBorder="1" applyAlignment="1">
      <alignment horizontal="left" vertical="center" wrapText="1"/>
    </xf>
    <xf numFmtId="49" fontId="8" fillId="0" borderId="9" xfId="0" applyNumberFormat="1" applyFont="1" applyBorder="1" applyAlignment="1">
      <alignment horizontal="center" vertical="center" wrapText="1"/>
    </xf>
    <xf numFmtId="0" fontId="8" fillId="0" borderId="9" xfId="0" applyNumberFormat="1" applyFont="1" applyBorder="1" applyAlignment="1">
      <alignment horizontal="left" vertical="center" wrapText="1"/>
    </xf>
    <xf numFmtId="0" fontId="8" fillId="0" borderId="0" xfId="0" applyNumberFormat="1" applyFont="1" applyAlignment="1">
      <alignment horizontal="left" vertical="center" wrapText="1"/>
    </xf>
    <xf numFmtId="49" fontId="8" fillId="0" borderId="11" xfId="0" applyNumberFormat="1" applyFont="1" applyBorder="1" applyAlignment="1">
      <alignment vertical="center" wrapText="1"/>
    </xf>
    <xf numFmtId="49" fontId="8" fillId="0" borderId="11" xfId="0" applyNumberFormat="1" applyFont="1" applyBorder="1" applyAlignment="1">
      <alignment horizontal="left" vertical="center" wrapText="1"/>
    </xf>
    <xf numFmtId="49" fontId="30" fillId="0" borderId="11" xfId="0" applyNumberFormat="1" applyFont="1" applyBorder="1" applyAlignment="1">
      <alignment vertical="center" wrapText="1"/>
    </xf>
    <xf numFmtId="49" fontId="8" fillId="0" borderId="11" xfId="0" applyNumberFormat="1" applyFont="1" applyBorder="1" applyAlignment="1">
      <alignment horizontal="center" vertical="center" wrapText="1"/>
    </xf>
    <xf numFmtId="0" fontId="8" fillId="0" borderId="11" xfId="0" applyNumberFormat="1" applyFont="1" applyBorder="1" applyAlignment="1">
      <alignment horizontal="left" vertical="center" wrapText="1"/>
    </xf>
    <xf numFmtId="49" fontId="8" fillId="0" borderId="11" xfId="0" applyNumberFormat="1" applyFont="1" applyBorder="1" applyAlignment="1">
      <alignment vertical="center" wrapText="1"/>
    </xf>
    <xf numFmtId="49" fontId="8" fillId="0" borderId="0" xfId="0" applyNumberFormat="1" applyFont="1" applyAlignment="1">
      <alignment vertical="center" wrapText="1"/>
    </xf>
    <xf numFmtId="49" fontId="8" fillId="0" borderId="0" xfId="0" applyNumberFormat="1" applyFont="1" applyAlignment="1">
      <alignment horizontal="left" vertical="center" wrapText="1"/>
    </xf>
    <xf numFmtId="49" fontId="30" fillId="0" borderId="0" xfId="0" applyNumberFormat="1" applyFont="1" applyAlignment="1">
      <alignment vertical="center" wrapText="1"/>
    </xf>
    <xf numFmtId="49" fontId="8" fillId="0" borderId="0" xfId="0" applyNumberFormat="1" applyFont="1" applyAlignment="1">
      <alignment horizontal="center" vertical="center" wrapText="1"/>
    </xf>
    <xf numFmtId="0" fontId="8" fillId="0" borderId="0" xfId="0" applyNumberFormat="1" applyFont="1" applyAlignment="1">
      <alignment horizontal="left" vertical="center" wrapText="1"/>
    </xf>
    <xf numFmtId="0" fontId="33" fillId="0" borderId="0" xfId="0" applyNumberFormat="1" applyFont="1" applyAlignment="1">
      <alignment horizontal="left" vertical="center"/>
    </xf>
    <xf numFmtId="49" fontId="30" fillId="0" borderId="0" xfId="0" applyNumberFormat="1" applyFont="1" applyAlignment="1">
      <alignment horizontal="center" vertical="center" wrapText="1"/>
    </xf>
    <xf numFmtId="0" fontId="33" fillId="0" borderId="0" xfId="0" applyNumberFormat="1" applyFont="1" applyAlignment="1">
      <alignment vertical="center"/>
    </xf>
    <xf numFmtId="49" fontId="57" fillId="0" borderId="19" xfId="0" applyNumberFormat="1" applyFont="1" applyBorder="1">
      <alignment vertical="top"/>
    </xf>
    <xf numFmtId="49" fontId="8" fillId="0" borderId="29" xfId="0" applyNumberFormat="1" applyFont="1" applyBorder="1" applyAlignment="1">
      <alignment vertical="center" wrapText="1"/>
    </xf>
    <xf numFmtId="49" fontId="8" fillId="0" borderId="14" xfId="0" applyNumberFormat="1" applyFont="1" applyBorder="1" applyAlignment="1">
      <alignment vertical="center" wrapText="1"/>
    </xf>
    <xf numFmtId="0" fontId="33" fillId="0" borderId="14" xfId="0" applyNumberFormat="1" applyFont="1" applyBorder="1" applyAlignment="1">
      <alignment horizontal="left" vertical="center"/>
    </xf>
    <xf numFmtId="49" fontId="57" fillId="0" borderId="20" xfId="0" applyNumberFormat="1" applyFont="1" applyBorder="1">
      <alignment vertical="top"/>
    </xf>
    <xf numFmtId="49" fontId="30" fillId="0" borderId="28" xfId="0" applyNumberFormat="1" applyFont="1" applyBorder="1" applyAlignment="1">
      <alignment horizontal="center" vertical="center" wrapText="1"/>
    </xf>
    <xf numFmtId="49" fontId="8" fillId="0" borderId="28" xfId="0" applyNumberFormat="1" applyFont="1" applyBorder="1" applyAlignment="1">
      <alignment horizontal="center" vertical="center" wrapText="1"/>
    </xf>
    <xf numFmtId="49" fontId="0" fillId="0" borderId="4" xfId="0" applyNumberFormat="1" applyFont="1" applyBorder="1" applyAlignment="1">
      <alignment horizontal="left" vertical="center" wrapText="1" indent="1"/>
    </xf>
    <xf numFmtId="49" fontId="0" fillId="0" borderId="0" xfId="0" applyNumberFormat="1" applyFont="1">
      <alignment vertical="top"/>
    </xf>
    <xf numFmtId="0" fontId="8" fillId="0" borderId="0" xfId="0" applyNumberFormat="1" applyFont="1" applyAlignment="1">
      <alignment vertical="center" wrapText="1"/>
    </xf>
    <xf numFmtId="0" fontId="8" fillId="0" borderId="0" xfId="0" applyNumberFormat="1" applyFont="1" applyAlignment="1">
      <alignment horizontal="left" vertical="center" wrapText="1"/>
    </xf>
    <xf numFmtId="0" fontId="48" fillId="0" borderId="0" xfId="0" applyNumberFormat="1" applyFont="1" applyAlignment="1">
      <alignment vertical="center" wrapText="1"/>
    </xf>
    <xf numFmtId="0" fontId="40" fillId="0" borderId="0" xfId="0" applyNumberFormat="1" applyFont="1" applyAlignment="1">
      <alignment vertical="center" wrapText="1"/>
    </xf>
    <xf numFmtId="0" fontId="54" fillId="0" borderId="0" xfId="0" applyNumberFormat="1" applyFont="1" applyAlignment="1">
      <alignment vertical="center" wrapText="1"/>
    </xf>
    <xf numFmtId="49" fontId="8" fillId="0" borderId="4" xfId="0" applyNumberFormat="1" applyFont="1" applyBorder="1" applyAlignment="1">
      <alignment horizontal="center" vertical="center" wrapText="1"/>
    </xf>
    <xf numFmtId="0" fontId="30" fillId="9" borderId="4" xfId="0" applyNumberFormat="1" applyFont="1" applyFill="1" applyBorder="1" applyAlignment="1">
      <alignment horizontal="center" vertical="center" wrapText="1"/>
    </xf>
    <xf numFmtId="0" fontId="30" fillId="9" borderId="0" xfId="0" applyNumberFormat="1" applyFont="1" applyFill="1" applyAlignment="1">
      <alignment horizontal="center" vertical="center" wrapText="1"/>
    </xf>
    <xf numFmtId="49" fontId="8" fillId="0" borderId="4" xfId="0" applyNumberFormat="1" applyFont="1" applyBorder="1" applyAlignment="1">
      <alignment horizontal="center" vertical="center" wrapText="1"/>
    </xf>
    <xf numFmtId="3" fontId="8" fillId="14" borderId="4" xfId="0" applyNumberFormat="1" applyFont="1" applyFill="1" applyBorder="1" applyAlignment="1" applyProtection="1">
      <alignment horizontal="right" vertical="center" wrapText="1"/>
      <protection locked="0"/>
    </xf>
    <xf numFmtId="0" fontId="40" fillId="0" borderId="0" xfId="0" applyNumberFormat="1" applyFont="1" applyAlignment="1">
      <alignment vertical="center" wrapText="1"/>
    </xf>
    <xf numFmtId="49" fontId="8" fillId="14" borderId="4" xfId="0" applyNumberFormat="1" applyFont="1" applyFill="1" applyBorder="1" applyAlignment="1" applyProtection="1">
      <alignment horizontal="left" vertical="center" wrapText="1"/>
      <protection locked="0"/>
    </xf>
    <xf numFmtId="0" fontId="40" fillId="0" borderId="0" xfId="0" applyNumberFormat="1" applyFont="1" applyAlignment="1">
      <alignment vertical="center"/>
    </xf>
    <xf numFmtId="0" fontId="30" fillId="9" borderId="4" xfId="0" applyNumberFormat="1" applyFont="1" applyFill="1" applyBorder="1" applyAlignment="1">
      <alignment horizontal="center" vertical="center" wrapText="1"/>
    </xf>
    <xf numFmtId="0" fontId="39" fillId="0" borderId="14" xfId="0" applyNumberFormat="1" applyFont="1" applyBorder="1" applyAlignment="1">
      <alignment vertical="center"/>
    </xf>
    <xf numFmtId="0" fontId="39" fillId="0" borderId="14" xfId="0" applyNumberFormat="1" applyFont="1" applyBorder="1" applyAlignment="1">
      <alignment vertical="center"/>
    </xf>
    <xf numFmtId="0" fontId="8" fillId="0" borderId="9" xfId="0" applyNumberFormat="1" applyFont="1" applyBorder="1" applyAlignment="1">
      <alignment horizontal="left" vertical="center" wrapText="1" indent="1"/>
    </xf>
    <xf numFmtId="49" fontId="8" fillId="0" borderId="51" xfId="0" applyNumberFormat="1" applyFont="1" applyBorder="1" applyAlignment="1">
      <alignment horizontal="center" vertical="center" wrapText="1"/>
    </xf>
    <xf numFmtId="49" fontId="8" fillId="0" borderId="21" xfId="0" applyNumberFormat="1" applyFont="1" applyBorder="1" applyAlignment="1">
      <alignment horizontal="center" vertical="center" wrapText="1"/>
    </xf>
    <xf numFmtId="0" fontId="8" fillId="0" borderId="0" xfId="0" applyNumberFormat="1" applyFont="1" applyAlignment="1">
      <alignment vertical="center" wrapText="1"/>
    </xf>
    <xf numFmtId="0" fontId="25" fillId="0" borderId="0" xfId="0" applyNumberFormat="1" applyFont="1" applyAlignment="1">
      <alignment vertical="center" wrapText="1"/>
    </xf>
    <xf numFmtId="0" fontId="30" fillId="0" borderId="0" xfId="0" applyNumberFormat="1" applyFont="1" applyAlignment="1">
      <alignment horizontal="center" vertical="center" wrapText="1"/>
    </xf>
    <xf numFmtId="0" fontId="8" fillId="0" borderId="4" xfId="0" applyNumberFormat="1" applyFont="1" applyBorder="1" applyAlignment="1">
      <alignment horizontal="center" vertical="center" wrapText="1"/>
    </xf>
    <xf numFmtId="0" fontId="8" fillId="0" borderId="0" xfId="0" applyNumberFormat="1" applyFont="1" applyAlignment="1">
      <alignment vertical="center" wrapText="1"/>
    </xf>
    <xf numFmtId="0" fontId="40" fillId="0" borderId="0" xfId="0" applyNumberFormat="1" applyFont="1" applyAlignment="1">
      <alignment vertical="center" wrapText="1"/>
    </xf>
    <xf numFmtId="0" fontId="8" fillId="0" borderId="4" xfId="0" applyNumberFormat="1" applyFont="1" applyBorder="1" applyAlignment="1">
      <alignment horizontal="center" vertical="center" wrapText="1"/>
    </xf>
    <xf numFmtId="49" fontId="8" fillId="0" borderId="0" xfId="0" applyNumberFormat="1" applyFont="1" applyAlignment="1">
      <alignment horizontal="center" vertical="center" wrapText="1"/>
    </xf>
    <xf numFmtId="0" fontId="8" fillId="0" borderId="4" xfId="0" applyNumberFormat="1" applyFont="1" applyBorder="1" applyAlignment="1">
      <alignment horizontal="center" vertical="center" wrapText="1"/>
    </xf>
    <xf numFmtId="0" fontId="44" fillId="0" borderId="0" xfId="0" applyNumberFormat="1" applyFont="1" applyAlignment="1">
      <alignment vertical="center"/>
    </xf>
    <xf numFmtId="0" fontId="40" fillId="0" borderId="0" xfId="0" applyNumberFormat="1" applyFont="1" applyAlignment="1">
      <alignment vertical="center" wrapText="1"/>
    </xf>
    <xf numFmtId="0" fontId="8" fillId="0" borderId="5" xfId="0" applyNumberFormat="1" applyFont="1" applyBorder="1" applyAlignment="1">
      <alignment horizontal="center" vertical="center" wrapText="1"/>
    </xf>
    <xf numFmtId="0" fontId="8" fillId="0" borderId="9" xfId="0" applyNumberFormat="1" applyFont="1" applyBorder="1" applyAlignment="1">
      <alignment horizontal="center" vertical="center" wrapText="1"/>
    </xf>
    <xf numFmtId="0" fontId="8" fillId="0" borderId="7" xfId="0" applyNumberFormat="1" applyFont="1" applyBorder="1" applyAlignment="1">
      <alignment horizontal="right" vertical="center" wrapText="1" indent="1"/>
    </xf>
    <xf numFmtId="0" fontId="8" fillId="0" borderId="4" xfId="0" applyNumberFormat="1" applyFont="1" applyBorder="1" applyAlignment="1">
      <alignment horizontal="center" vertical="center" wrapText="1"/>
    </xf>
    <xf numFmtId="0" fontId="8" fillId="0" borderId="0" xfId="0" applyNumberFormat="1" applyFont="1" applyAlignment="1">
      <alignment horizontal="left" vertical="top" wrapText="1"/>
    </xf>
    <xf numFmtId="0" fontId="8" fillId="0" borderId="4" xfId="0" applyNumberFormat="1" applyFont="1" applyBorder="1" applyAlignment="1">
      <alignment horizontal="center" vertical="center" wrapText="1"/>
    </xf>
    <xf numFmtId="49" fontId="8" fillId="15" borderId="4" xfId="0" applyNumberFormat="1" applyFont="1" applyFill="1" applyBorder="1" applyAlignment="1">
      <alignment horizontal="left" vertical="center" wrapText="1"/>
    </xf>
    <xf numFmtId="0" fontId="8" fillId="0" borderId="4" xfId="0" applyNumberFormat="1" applyFont="1" applyBorder="1" applyAlignment="1">
      <alignment horizontal="left" vertical="center" wrapText="1" indent="2"/>
    </xf>
    <xf numFmtId="0" fontId="40" fillId="0" borderId="9" xfId="0" applyNumberFormat="1" applyFont="1" applyBorder="1" applyAlignment="1">
      <alignment horizontal="center" vertical="center" wrapText="1"/>
    </xf>
    <xf numFmtId="0" fontId="8" fillId="11" borderId="6" xfId="0" applyNumberFormat="1" applyFont="1" applyFill="1" applyBorder="1" applyAlignment="1">
      <alignment horizontal="left" vertical="top" wrapText="1"/>
    </xf>
    <xf numFmtId="0" fontId="8" fillId="0" borderId="4" xfId="0" applyNumberFormat="1" applyFont="1" applyBorder="1" applyAlignment="1">
      <alignment horizontal="center" vertical="center" wrapText="1"/>
    </xf>
    <xf numFmtId="0" fontId="8" fillId="0" borderId="5" xfId="0" applyNumberFormat="1" applyFont="1" applyBorder="1" applyAlignment="1">
      <alignment horizontal="center" vertical="center" wrapText="1"/>
    </xf>
    <xf numFmtId="0" fontId="8" fillId="0" borderId="9" xfId="0" applyNumberFormat="1" applyFont="1" applyBorder="1" applyAlignment="1">
      <alignment horizontal="center" vertical="center" wrapText="1"/>
    </xf>
    <xf numFmtId="0" fontId="8" fillId="0" borderId="7" xfId="0" applyNumberFormat="1" applyFont="1" applyBorder="1" applyAlignment="1">
      <alignment horizontal="right" vertical="center" wrapText="1" indent="1"/>
    </xf>
    <xf numFmtId="0" fontId="8" fillId="0" borderId="4" xfId="0" applyNumberFormat="1" applyFont="1" applyBorder="1" applyAlignment="1">
      <alignment horizontal="center" vertical="center" wrapText="1"/>
    </xf>
    <xf numFmtId="0" fontId="8" fillId="0" borderId="4" xfId="0" applyNumberFormat="1" applyFont="1" applyBorder="1" applyAlignment="1">
      <alignment horizontal="center" vertical="center" wrapText="1"/>
    </xf>
    <xf numFmtId="0" fontId="8" fillId="11" borderId="6" xfId="0" applyNumberFormat="1" applyFont="1" applyFill="1" applyBorder="1" applyAlignment="1">
      <alignment horizontal="left" vertical="top" wrapText="1"/>
    </xf>
    <xf numFmtId="0" fontId="8" fillId="0" borderId="4" xfId="0" applyNumberFormat="1" applyFont="1" applyBorder="1" applyAlignment="1">
      <alignment horizontal="center" vertical="center" wrapText="1"/>
    </xf>
    <xf numFmtId="49" fontId="0" fillId="0" borderId="4" xfId="0" applyNumberFormat="1" applyFont="1" applyBorder="1" applyAlignment="1">
      <alignment vertical="center" wrapText="1"/>
    </xf>
    <xf numFmtId="0" fontId="40" fillId="0" borderId="6" xfId="0" applyNumberFormat="1" applyFont="1" applyBorder="1" applyAlignment="1">
      <alignment vertical="center" wrapText="1"/>
    </xf>
    <xf numFmtId="0" fontId="40" fillId="0" borderId="6" xfId="0" applyNumberFormat="1" applyFont="1" applyBorder="1" applyAlignment="1">
      <alignment horizontal="left" vertical="top" wrapText="1"/>
    </xf>
    <xf numFmtId="49" fontId="8" fillId="0" borderId="52" xfId="0" applyNumberFormat="1" applyFont="1" applyBorder="1" applyAlignment="1">
      <alignment horizontal="center" vertical="center" wrapText="1"/>
    </xf>
    <xf numFmtId="0" fontId="8" fillId="0" borderId="9" xfId="0" applyNumberFormat="1" applyFont="1" applyBorder="1" applyAlignment="1">
      <alignment horizontal="left" vertical="center" wrapText="1"/>
    </xf>
    <xf numFmtId="49" fontId="33" fillId="13" borderId="11" xfId="0" applyNumberFormat="1" applyFont="1" applyFill="1" applyBorder="1" applyAlignment="1">
      <alignment horizontal="left" vertical="center" indent="2"/>
    </xf>
    <xf numFmtId="49" fontId="0" fillId="0" borderId="4" xfId="0" applyNumberFormat="1" applyFont="1" applyBorder="1" applyAlignment="1">
      <alignment horizontal="left" vertical="center" wrapText="1" indent="1"/>
    </xf>
    <xf numFmtId="49" fontId="0" fillId="0" borderId="4" xfId="0" applyNumberFormat="1" applyFont="1" applyBorder="1" applyAlignment="1">
      <alignment horizontal="left" vertical="center" wrapText="1" indent="2"/>
    </xf>
    <xf numFmtId="49" fontId="8" fillId="0" borderId="0" xfId="0" applyNumberFormat="1" applyFont="1" applyAlignment="1">
      <alignment vertical="center" wrapText="1"/>
    </xf>
    <xf numFmtId="0" fontId="0" fillId="0" borderId="4" xfId="0" applyNumberFormat="1" applyFont="1" applyBorder="1" applyAlignment="1">
      <alignment horizontal="center" vertical="center" wrapText="1"/>
    </xf>
    <xf numFmtId="49" fontId="8" fillId="15" borderId="4" xfId="0" applyNumberFormat="1" applyFont="1" applyFill="1" applyBorder="1" applyAlignment="1">
      <alignment horizontal="left" vertical="center" wrapText="1" indent="1"/>
    </xf>
    <xf numFmtId="0" fontId="0" fillId="0" borderId="4" xfId="0" applyNumberFormat="1" applyFont="1" applyBorder="1" applyAlignment="1">
      <alignment horizontal="left" vertical="center" wrapText="1" indent="1"/>
    </xf>
    <xf numFmtId="49" fontId="0" fillId="9" borderId="4" xfId="0" applyNumberFormat="1" applyFont="1" applyFill="1" applyBorder="1" applyAlignment="1">
      <alignment horizontal="center" vertical="center" wrapText="1"/>
    </xf>
    <xf numFmtId="49" fontId="8" fillId="15" borderId="4" xfId="0" applyNumberFormat="1" applyFont="1" applyFill="1" applyBorder="1" applyAlignment="1">
      <alignment horizontal="left" vertical="center" wrapText="1"/>
    </xf>
    <xf numFmtId="49" fontId="8" fillId="0" borderId="53" xfId="0" applyNumberFormat="1" applyFont="1" applyBorder="1" applyAlignment="1">
      <alignment horizontal="center" vertical="center" wrapText="1"/>
    </xf>
    <xf numFmtId="4" fontId="8" fillId="14" borderId="9" xfId="0" applyNumberFormat="1" applyFont="1" applyFill="1" applyBorder="1" applyAlignment="1" applyProtection="1">
      <alignment horizontal="right" vertical="center" wrapText="1"/>
      <protection locked="0"/>
    </xf>
    <xf numFmtId="49" fontId="33" fillId="0" borderId="11" xfId="0" applyNumberFormat="1" applyFont="1" applyBorder="1" applyAlignment="1">
      <alignment horizontal="left" vertical="center"/>
    </xf>
    <xf numFmtId="49" fontId="33" fillId="0" borderId="11" xfId="0" applyNumberFormat="1" applyFont="1" applyBorder="1" applyAlignment="1">
      <alignment horizontal="left" vertical="center" indent="2"/>
    </xf>
    <xf numFmtId="49" fontId="37" fillId="0" borderId="11" xfId="0" applyNumberFormat="1" applyFont="1" applyBorder="1" applyAlignment="1">
      <alignment horizontal="center" vertical="top"/>
    </xf>
    <xf numFmtId="0" fontId="8" fillId="0" borderId="11" xfId="0" applyNumberFormat="1" applyFont="1" applyBorder="1" applyAlignment="1">
      <alignment horizontal="left" vertical="top" wrapText="1"/>
    </xf>
    <xf numFmtId="0" fontId="8" fillId="0" borderId="0" xfId="0" applyNumberFormat="1" applyFont="1" applyAlignment="1">
      <alignment horizontal="right" vertical="top" wrapText="1"/>
    </xf>
    <xf numFmtId="49" fontId="39" fillId="0" borderId="0" xfId="0" applyNumberFormat="1" applyFont="1">
      <alignment vertical="top"/>
    </xf>
    <xf numFmtId="49" fontId="8" fillId="15" borderId="4" xfId="0" applyNumberFormat="1" applyFont="1" applyFill="1" applyBorder="1" applyAlignment="1">
      <alignment horizontal="left" vertical="center" wrapText="1"/>
    </xf>
    <xf numFmtId="49" fontId="8" fillId="15" borderId="6" xfId="0" applyNumberFormat="1" applyFont="1" applyFill="1" applyBorder="1" applyAlignment="1">
      <alignment horizontal="left" vertical="center" wrapText="1"/>
    </xf>
    <xf numFmtId="0" fontId="8" fillId="9" borderId="0" xfId="0" applyNumberFormat="1" applyFont="1" applyFill="1" applyAlignment="1"/>
    <xf numFmtId="0" fontId="8" fillId="0" borderId="0" xfId="33" applyFont="1" applyAlignment="1">
      <alignment vertical="top" wrapText="1"/>
    </xf>
    <xf numFmtId="0" fontId="30" fillId="9" borderId="0" xfId="0" applyNumberFormat="1" applyFont="1" applyFill="1" applyAlignment="1">
      <alignment horizontal="center" vertical="center" wrapText="1"/>
    </xf>
    <xf numFmtId="0" fontId="0" fillId="9" borderId="15"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25" fillId="21" borderId="0" xfId="0" applyNumberFormat="1" applyFont="1" applyFill="1" applyAlignment="1">
      <alignment horizontal="center" vertical="center"/>
    </xf>
    <xf numFmtId="0" fontId="0" fillId="22" borderId="0" xfId="0" applyNumberFormat="1" applyFont="1" applyFill="1" applyAlignment="1">
      <alignment horizontal="left" vertical="center"/>
    </xf>
    <xf numFmtId="49" fontId="0" fillId="0" borderId="0" xfId="0" applyNumberFormat="1" applyFont="1" applyAlignment="1">
      <alignment vertical="center"/>
    </xf>
    <xf numFmtId="0" fontId="0" fillId="22" borderId="0" xfId="0" applyNumberFormat="1" applyFont="1" applyFill="1" applyAlignment="1">
      <alignment horizontal="right" vertical="center"/>
    </xf>
    <xf numFmtId="0" fontId="44" fillId="22" borderId="0" xfId="0" applyNumberFormat="1" applyFont="1" applyFill="1" applyAlignment="1">
      <alignment horizontal="left" vertical="center"/>
    </xf>
    <xf numFmtId="0" fontId="0" fillId="0" borderId="0" xfId="0" applyNumberFormat="1" applyFont="1" applyAlignment="1">
      <alignment horizontal="right" vertical="top"/>
    </xf>
    <xf numFmtId="0" fontId="0" fillId="22" borderId="3" xfId="0" applyNumberFormat="1" applyFont="1" applyFill="1" applyBorder="1" applyAlignment="1">
      <alignment horizontal="center"/>
    </xf>
    <xf numFmtId="0" fontId="0" fillId="0" borderId="3" xfId="0" applyNumberFormat="1" applyFont="1" applyBorder="1" applyAlignment="1">
      <alignment horizontal="center"/>
    </xf>
    <xf numFmtId="0" fontId="106" fillId="0" borderId="0" xfId="0" applyNumberFormat="1" applyFont="1" applyAlignment="1">
      <alignment wrapText="1"/>
    </xf>
    <xf numFmtId="49" fontId="56" fillId="0" borderId="0" xfId="0" applyNumberFormat="1" applyFont="1" applyAlignment="1">
      <alignment wrapText="1"/>
    </xf>
    <xf numFmtId="49" fontId="56" fillId="0" borderId="0" xfId="0" applyNumberFormat="1" applyFont="1" applyAlignment="1">
      <alignment vertical="center" wrapText="1"/>
    </xf>
    <xf numFmtId="49" fontId="107" fillId="0" borderId="0" xfId="0" applyNumberFormat="1" applyFont="1" applyAlignment="1">
      <alignment wrapText="1"/>
    </xf>
    <xf numFmtId="0" fontId="92" fillId="0" borderId="0" xfId="0" applyNumberFormat="1" applyFont="1" applyAlignment="1">
      <alignment horizontal="left" vertical="center" wrapText="1"/>
    </xf>
    <xf numFmtId="49" fontId="108" fillId="0" borderId="0" xfId="0" applyNumberFormat="1" applyFont="1" applyAlignment="1">
      <alignment wrapText="1"/>
    </xf>
    <xf numFmtId="0" fontId="7" fillId="0" borderId="0" xfId="0" applyNumberFormat="1" applyFont="1" applyAlignment="1">
      <alignment horizontal="left" vertical="top" wrapText="1"/>
    </xf>
    <xf numFmtId="49" fontId="8" fillId="0" borderId="0" xfId="0" applyNumberFormat="1" applyFont="1" applyAlignment="1">
      <alignment vertical="top" wrapText="1"/>
    </xf>
    <xf numFmtId="0" fontId="56" fillId="0" borderId="0" xfId="0" applyNumberFormat="1" applyFont="1" applyAlignment="1">
      <alignment wrapText="1"/>
    </xf>
    <xf numFmtId="0" fontId="109" fillId="0" borderId="0" xfId="0" applyNumberFormat="1" applyFont="1" applyAlignment="1">
      <alignment horizontal="left" vertical="center" wrapText="1"/>
    </xf>
    <xf numFmtId="0" fontId="110" fillId="0" borderId="0" xfId="0" applyNumberFormat="1" applyFont="1" applyAlignment="1">
      <alignment vertical="center" wrapText="1"/>
    </xf>
    <xf numFmtId="0" fontId="56" fillId="0" borderId="30" xfId="0" applyNumberFormat="1" applyFont="1" applyBorder="1" applyAlignment="1">
      <alignment wrapText="1"/>
    </xf>
    <xf numFmtId="0" fontId="56" fillId="0" borderId="0" xfId="0" applyNumberFormat="1" applyFont="1" applyAlignment="1"/>
    <xf numFmtId="0" fontId="109" fillId="0" borderId="0" xfId="0" applyNumberFormat="1" applyFont="1" applyAlignment="1"/>
    <xf numFmtId="0" fontId="111" fillId="0" borderId="0" xfId="0" applyNumberFormat="1" applyFont="1" applyAlignment="1">
      <alignment wrapText="1"/>
    </xf>
    <xf numFmtId="0" fontId="0" fillId="6" borderId="54" xfId="0" applyNumberFormat="1" applyFont="1" applyFill="1" applyBorder="1" applyAlignment="1">
      <alignment horizontal="center" vertical="center" wrapText="1"/>
    </xf>
    <xf numFmtId="0" fontId="0" fillId="27" borderId="54" xfId="0" applyNumberFormat="1" applyFont="1" applyFill="1" applyBorder="1" applyAlignment="1">
      <alignment horizontal="center" vertical="center" wrapText="1"/>
    </xf>
    <xf numFmtId="0" fontId="0" fillId="11" borderId="54" xfId="0" applyNumberFormat="1" applyFont="1" applyFill="1" applyBorder="1" applyAlignment="1">
      <alignment horizontal="center" vertical="center" wrapText="1"/>
    </xf>
    <xf numFmtId="0" fontId="0" fillId="14" borderId="54" xfId="0" applyNumberFormat="1" applyFont="1" applyFill="1" applyBorder="1" applyAlignment="1">
      <alignment horizontal="center" vertical="center" wrapText="1"/>
    </xf>
    <xf numFmtId="0" fontId="109" fillId="0" borderId="30" xfId="0" applyNumberFormat="1" applyFont="1" applyBorder="1" applyAlignment="1">
      <alignment horizontal="left" vertical="center" wrapText="1"/>
    </xf>
    <xf numFmtId="0" fontId="109" fillId="0" borderId="55" xfId="0" applyNumberFormat="1" applyFont="1" applyBorder="1" applyAlignment="1">
      <alignment horizontal="left" vertical="center" wrapText="1"/>
    </xf>
    <xf numFmtId="0" fontId="111" fillId="0" borderId="0" xfId="0" applyNumberFormat="1" applyFont="1" applyAlignment="1"/>
    <xf numFmtId="0" fontId="111" fillId="0" borderId="30" xfId="0" applyNumberFormat="1" applyFont="1" applyBorder="1" applyAlignment="1">
      <alignment wrapText="1"/>
    </xf>
    <xf numFmtId="0" fontId="56" fillId="0" borderId="56" xfId="0" applyNumberFormat="1" applyFont="1" applyBorder="1" applyAlignment="1">
      <alignment wrapText="1"/>
    </xf>
    <xf numFmtId="0" fontId="56" fillId="0" borderId="31" xfId="0" applyNumberFormat="1" applyFont="1" applyBorder="1" applyAlignment="1">
      <alignment wrapText="1"/>
    </xf>
    <xf numFmtId="0" fontId="56" fillId="0" borderId="31" xfId="0" applyNumberFormat="1" applyFont="1" applyBorder="1" applyAlignment="1">
      <alignment vertical="center" wrapText="1"/>
    </xf>
    <xf numFmtId="0" fontId="107" fillId="0" borderId="0" xfId="0" applyNumberFormat="1" applyFont="1" applyAlignment="1"/>
    <xf numFmtId="0" fontId="29" fillId="0" borderId="16" xfId="0" applyNumberFormat="1" applyFont="1" applyBorder="1" applyAlignment="1">
      <alignment horizontal="center" vertical="center" wrapText="1"/>
    </xf>
    <xf numFmtId="49" fontId="8" fillId="0" borderId="5" xfId="0" applyNumberFormat="1" applyFont="1" applyBorder="1" applyAlignment="1">
      <alignment horizontal="center" vertical="center" wrapText="1"/>
    </xf>
    <xf numFmtId="0" fontId="29" fillId="0" borderId="4" xfId="0" applyNumberFormat="1" applyFont="1" applyBorder="1" applyAlignment="1">
      <alignment horizontal="center" vertical="center" wrapText="1"/>
    </xf>
    <xf numFmtId="49" fontId="112" fillId="0" borderId="0" xfId="0" applyNumberFormat="1" applyFont="1" applyAlignment="1">
      <alignment horizontal="center" vertical="center" wrapText="1"/>
    </xf>
    <xf numFmtId="49" fontId="8" fillId="22" borderId="0" xfId="0" applyNumberFormat="1" applyFont="1" applyFill="1" applyAlignment="1">
      <alignment horizontal="center" vertical="center"/>
    </xf>
    <xf numFmtId="170" fontId="0" fillId="14" borderId="4" xfId="0" applyNumberFormat="1" applyFont="1" applyFill="1" applyBorder="1" applyAlignment="1" applyProtection="1">
      <alignment horizontal="left" vertical="center" wrapText="1" indent="1"/>
      <protection locked="0"/>
    </xf>
    <xf numFmtId="170" fontId="0" fillId="0" borderId="4" xfId="0" applyNumberFormat="1" applyFont="1" applyBorder="1" applyAlignment="1">
      <alignment horizontal="left" vertical="center" wrapText="1" indent="1"/>
    </xf>
    <xf numFmtId="170" fontId="0" fillId="14" borderId="4" xfId="0" applyNumberFormat="1" applyFont="1" applyFill="1" applyBorder="1" applyAlignment="1" applyProtection="1">
      <alignment horizontal="center" vertical="center" wrapText="1"/>
      <protection locked="0"/>
    </xf>
    <xf numFmtId="170" fontId="40" fillId="0" borderId="0" xfId="0" applyNumberFormat="1" applyFont="1" applyAlignment="1">
      <alignment horizontal="center" vertical="center" wrapText="1"/>
    </xf>
    <xf numFmtId="170" fontId="40" fillId="0" borderId="4" xfId="0" applyNumberFormat="1" applyFont="1" applyBorder="1" applyAlignment="1">
      <alignment horizontal="center" vertical="center" wrapText="1"/>
    </xf>
    <xf numFmtId="170" fontId="0" fillId="14" borderId="4" xfId="0" applyNumberFormat="1" applyFont="1" applyFill="1" applyBorder="1" applyAlignment="1" applyProtection="1">
      <alignment horizontal="left" vertical="center" wrapText="1"/>
      <protection locked="0"/>
    </xf>
    <xf numFmtId="170" fontId="0" fillId="6" borderId="4" xfId="0" applyNumberFormat="1" applyFont="1" applyFill="1" applyBorder="1" applyAlignment="1" applyProtection="1">
      <alignment horizontal="left" vertical="center" wrapText="1" indent="1"/>
      <protection locked="0"/>
    </xf>
    <xf numFmtId="170" fontId="0" fillId="14" borderId="5" xfId="0" applyNumberFormat="1" applyFont="1" applyFill="1" applyBorder="1" applyAlignment="1" applyProtection="1">
      <alignment horizontal="left" vertical="center" wrapText="1"/>
      <protection locked="0"/>
    </xf>
    <xf numFmtId="0" fontId="8" fillId="0" borderId="4" xfId="0" applyNumberFormat="1" applyFont="1" applyBorder="1" applyAlignment="1">
      <alignment horizontal="center" vertical="center" wrapText="1"/>
    </xf>
    <xf numFmtId="0" fontId="8" fillId="0" borderId="28" xfId="0" applyNumberFormat="1" applyFont="1" applyBorder="1" applyAlignment="1">
      <alignment horizontal="center" vertical="center" wrapText="1"/>
    </xf>
    <xf numFmtId="0" fontId="30" fillId="0" borderId="16" xfId="0" applyNumberFormat="1" applyFont="1" applyBorder="1" applyAlignment="1">
      <alignment horizontal="center" vertical="center" wrapText="1"/>
    </xf>
    <xf numFmtId="0" fontId="8" fillId="0" borderId="0" xfId="0" applyNumberFormat="1" applyFont="1" applyAlignment="1">
      <alignment horizontal="left" vertical="top" indent="1"/>
    </xf>
    <xf numFmtId="0" fontId="8" fillId="11" borderId="19" xfId="0" applyNumberFormat="1" applyFont="1" applyFill="1" applyBorder="1" applyAlignment="1">
      <alignment horizontal="center" vertical="top"/>
    </xf>
    <xf numFmtId="0" fontId="0" fillId="0" borderId="26" xfId="0" applyNumberFormat="1" applyFont="1" applyBorder="1" applyAlignment="1">
      <alignment horizontal="center" vertical="center"/>
    </xf>
    <xf numFmtId="0" fontId="0" fillId="0" borderId="25" xfId="0" applyNumberFormat="1" applyFont="1" applyBorder="1" applyAlignment="1">
      <alignment horizontal="center" vertical="center"/>
    </xf>
    <xf numFmtId="0" fontId="8" fillId="15" borderId="28" xfId="0" applyNumberFormat="1" applyFont="1" applyFill="1" applyBorder="1" applyAlignment="1">
      <alignment horizontal="center" vertical="top" wrapText="1"/>
    </xf>
    <xf numFmtId="49" fontId="0" fillId="14" borderId="4" xfId="0" applyNumberFormat="1" applyFont="1" applyFill="1" applyBorder="1" applyAlignment="1" applyProtection="1">
      <alignment horizontal="left" vertical="center" wrapText="1"/>
      <protection locked="0"/>
    </xf>
    <xf numFmtId="49" fontId="8" fillId="6" borderId="4" xfId="0" applyNumberFormat="1" applyFont="1" applyFill="1" applyBorder="1" applyAlignment="1" applyProtection="1">
      <alignment horizontal="left" vertical="center" wrapText="1"/>
      <protection locked="0"/>
    </xf>
    <xf numFmtId="49" fontId="8" fillId="0" borderId="4" xfId="0" applyNumberFormat="1" applyFont="1" applyBorder="1" applyAlignment="1">
      <alignment horizontal="center" vertical="center" wrapText="1"/>
    </xf>
    <xf numFmtId="0" fontId="8" fillId="11" borderId="19" xfId="0" applyNumberFormat="1" applyFont="1" applyFill="1" applyBorder="1" applyAlignment="1">
      <alignment horizontal="left" vertical="top"/>
    </xf>
    <xf numFmtId="0" fontId="8" fillId="0" borderId="4" xfId="0" applyNumberFormat="1" applyFont="1" applyBorder="1" applyAlignment="1">
      <alignment horizontal="left" vertical="top"/>
    </xf>
    <xf numFmtId="49" fontId="8" fillId="0" borderId="0" xfId="0" applyNumberFormat="1" applyFont="1" applyAlignment="1">
      <alignment horizontal="left" vertical="top"/>
    </xf>
    <xf numFmtId="0" fontId="8" fillId="15" borderId="28" xfId="0" applyNumberFormat="1" applyFont="1" applyFill="1" applyBorder="1" applyAlignment="1">
      <alignment horizontal="center" vertical="top" wrapText="1"/>
    </xf>
    <xf numFmtId="49" fontId="8" fillId="15" borderId="28" xfId="0" applyNumberFormat="1" applyFont="1" applyFill="1" applyBorder="1" applyAlignment="1">
      <alignment horizontal="center" vertical="center" wrapText="1"/>
    </xf>
    <xf numFmtId="49" fontId="40" fillId="0" borderId="4" xfId="0" applyNumberFormat="1" applyFont="1" applyBorder="1" applyAlignment="1">
      <alignment horizontal="center" vertical="center" wrapText="1"/>
    </xf>
    <xf numFmtId="49" fontId="8" fillId="6" borderId="4" xfId="0" applyNumberFormat="1" applyFont="1" applyFill="1" applyBorder="1" applyAlignment="1" applyProtection="1">
      <alignment horizontal="left" vertical="center" wrapText="1"/>
      <protection locked="0"/>
    </xf>
    <xf numFmtId="0" fontId="38" fillId="0" borderId="4" xfId="0" applyNumberFormat="1" applyFont="1" applyBorder="1" applyAlignment="1">
      <alignment horizontal="center" vertical="center"/>
    </xf>
    <xf numFmtId="49" fontId="0" fillId="14" borderId="4" xfId="0" applyNumberFormat="1" applyFont="1" applyFill="1" applyBorder="1" applyAlignment="1" applyProtection="1">
      <alignment horizontal="left" vertical="center" wrapText="1"/>
      <protection locked="0"/>
    </xf>
    <xf numFmtId="49" fontId="8" fillId="0" borderId="4" xfId="0" applyNumberFormat="1" applyFont="1" applyBorder="1" applyAlignment="1">
      <alignment horizontal="center" vertical="center" wrapText="1"/>
    </xf>
    <xf numFmtId="49" fontId="8" fillId="15" borderId="28" xfId="0" applyNumberFormat="1" applyFont="1" applyFill="1" applyBorder="1" applyAlignment="1">
      <alignment horizontal="center" vertical="top" wrapText="1"/>
    </xf>
    <xf numFmtId="49" fontId="0" fillId="0" borderId="28" xfId="0" applyNumberFormat="1" applyFont="1" applyBorder="1">
      <alignment vertical="top"/>
    </xf>
    <xf numFmtId="49" fontId="8" fillId="15" borderId="28" xfId="0" applyNumberFormat="1" applyFont="1" applyFill="1" applyBorder="1" applyAlignment="1">
      <alignment horizontal="center" vertical="center" wrapText="1"/>
    </xf>
    <xf numFmtId="49" fontId="0" fillId="14" borderId="28" xfId="0" applyNumberFormat="1" applyFont="1" applyFill="1" applyBorder="1" applyProtection="1">
      <alignment vertical="top"/>
      <protection locked="0"/>
    </xf>
    <xf numFmtId="0" fontId="8" fillId="0" borderId="4" xfId="0" applyNumberFormat="1" applyFont="1" applyBorder="1" applyAlignment="1">
      <alignment horizontal="center" vertical="center" wrapText="1"/>
    </xf>
    <xf numFmtId="0" fontId="0" fillId="9" borderId="4" xfId="0" applyNumberFormat="1" applyFont="1" applyFill="1" applyBorder="1" applyAlignment="1">
      <alignment vertical="top" wrapText="1"/>
    </xf>
    <xf numFmtId="0" fontId="39" fillId="0" borderId="4" xfId="0" applyNumberFormat="1" applyFont="1" applyBorder="1" applyAlignment="1">
      <alignment vertical="top" wrapText="1"/>
    </xf>
    <xf numFmtId="49" fontId="0" fillId="14" borderId="4" xfId="0" applyNumberFormat="1" applyFont="1" applyFill="1" applyBorder="1" applyAlignment="1" applyProtection="1">
      <alignment horizontal="left" vertical="center" wrapText="1"/>
      <protection locked="0"/>
    </xf>
    <xf numFmtId="0" fontId="39" fillId="0" borderId="0" xfId="0" applyNumberFormat="1" applyFont="1" applyAlignment="1">
      <alignment horizontal="center" vertical="center" wrapText="1"/>
    </xf>
    <xf numFmtId="170" fontId="0" fillId="14" borderId="5" xfId="0" applyNumberFormat="1" applyFont="1" applyFill="1" applyBorder="1" applyAlignment="1" applyProtection="1">
      <alignment horizontal="left" vertical="center" wrapText="1" indent="1"/>
      <protection locked="0"/>
    </xf>
    <xf numFmtId="0" fontId="0" fillId="14" borderId="5" xfId="0" applyNumberFormat="1" applyFont="1" applyFill="1" applyBorder="1" applyAlignment="1" applyProtection="1">
      <alignment horizontal="left" vertical="center" wrapText="1" indent="1"/>
      <protection locked="0"/>
    </xf>
    <xf numFmtId="0" fontId="8" fillId="9" borderId="4" xfId="33" applyFont="1" applyFill="1" applyBorder="1" applyAlignment="1">
      <alignment horizontal="right" vertical="center" wrapText="1" indent="1"/>
    </xf>
    <xf numFmtId="49" fontId="8" fillId="6" borderId="4" xfId="33" applyNumberFormat="1" applyFont="1" applyFill="1" applyBorder="1" applyAlignment="1" applyProtection="1">
      <alignment horizontal="left" vertical="center" wrapText="1" indent="1"/>
      <protection locked="0"/>
    </xf>
    <xf numFmtId="49" fontId="113" fillId="0" borderId="0" xfId="0" applyNumberFormat="1" applyFont="1" applyAlignment="1">
      <alignment vertical="center" wrapText="1"/>
    </xf>
    <xf numFmtId="49" fontId="114" fillId="0" borderId="0" xfId="0" applyNumberFormat="1" applyFont="1" applyAlignment="1">
      <alignment vertical="center" wrapText="1"/>
    </xf>
    <xf numFmtId="0" fontId="0" fillId="14" borderId="5" xfId="0" applyNumberFormat="1" applyFont="1" applyFill="1" applyBorder="1" applyAlignment="1" applyProtection="1">
      <alignment horizontal="left" vertical="center" wrapText="1" indent="1"/>
      <protection locked="0"/>
    </xf>
    <xf numFmtId="0" fontId="8" fillId="14" borderId="4" xfId="0" applyNumberFormat="1" applyFont="1" applyFill="1" applyBorder="1" applyAlignment="1" applyProtection="1">
      <alignment horizontal="left" vertical="center" wrapText="1" indent="1"/>
      <protection locked="0"/>
    </xf>
    <xf numFmtId="0" fontId="81" fillId="0" borderId="0" xfId="0" applyNumberFormat="1" applyFont="1" applyAlignment="1">
      <alignment horizontal="left" vertical="center" wrapText="1"/>
    </xf>
    <xf numFmtId="0" fontId="26" fillId="0" borderId="0" xfId="0" applyNumberFormat="1" applyFont="1" applyAlignment="1">
      <alignment vertical="center" wrapText="1"/>
    </xf>
    <xf numFmtId="0" fontId="57" fillId="0" borderId="0" xfId="0" applyNumberFormat="1" applyFont="1" applyAlignment="1">
      <alignment vertical="center"/>
    </xf>
    <xf numFmtId="0" fontId="34" fillId="0" borderId="0" xfId="0" applyNumberFormat="1" applyFont="1" applyAlignment="1">
      <alignment vertical="center"/>
    </xf>
    <xf numFmtId="49" fontId="40" fillId="0" borderId="0" xfId="0" applyNumberFormat="1" applyFont="1" applyAlignment="1">
      <alignment horizontal="center" vertical="center"/>
    </xf>
    <xf numFmtId="49" fontId="57" fillId="0" borderId="0" xfId="0" applyNumberFormat="1" applyFont="1">
      <alignment vertical="top"/>
    </xf>
    <xf numFmtId="0" fontId="51" fillId="9" borderId="0" xfId="0" applyNumberFormat="1" applyFont="1" applyFill="1" applyAlignment="1"/>
    <xf numFmtId="0" fontId="40" fillId="9" borderId="0" xfId="0" applyNumberFormat="1" applyFont="1" applyFill="1" applyAlignment="1"/>
    <xf numFmtId="49" fontId="115" fillId="0" borderId="4" xfId="0" applyNumberFormat="1" applyFont="1" applyBorder="1" applyAlignment="1">
      <alignment horizontal="left" vertical="center" wrapText="1"/>
    </xf>
    <xf numFmtId="49" fontId="113" fillId="14" borderId="4" xfId="0" quotePrefix="1" applyNumberFormat="1" applyFont="1" applyFill="1" applyBorder="1" applyAlignment="1" applyProtection="1">
      <alignment horizontal="left" vertical="center" wrapText="1"/>
      <protection locked="0"/>
    </xf>
    <xf numFmtId="49" fontId="113" fillId="6" borderId="4" xfId="0" applyNumberFormat="1" applyFont="1" applyFill="1" applyBorder="1" applyAlignment="1" applyProtection="1">
      <alignment horizontal="left" vertical="center" wrapText="1"/>
      <protection locked="0"/>
    </xf>
    <xf numFmtId="0" fontId="66" fillId="9" borderId="0" xfId="0" applyNumberFormat="1" applyFont="1" applyFill="1" applyAlignment="1"/>
    <xf numFmtId="0" fontId="0" fillId="9" borderId="0" xfId="0" applyNumberFormat="1" applyFont="1" applyFill="1" applyAlignment="1"/>
    <xf numFmtId="0" fontId="0" fillId="9" borderId="0" xfId="0" applyNumberFormat="1" applyFont="1" applyFill="1" applyAlignment="1">
      <alignment horizontal="center"/>
    </xf>
    <xf numFmtId="0" fontId="35" fillId="0" borderId="0" xfId="0" applyNumberFormat="1" applyFont="1" applyAlignment="1">
      <alignment vertical="center" wrapText="1"/>
    </xf>
    <xf numFmtId="0" fontId="78" fillId="0" borderId="0" xfId="0" applyNumberFormat="1" applyFont="1" applyAlignment="1">
      <alignment vertical="center" wrapText="1"/>
    </xf>
    <xf numFmtId="0" fontId="50" fillId="0" borderId="0" xfId="0" applyNumberFormat="1" applyFont="1" applyAlignment="1">
      <alignment vertical="center" wrapText="1"/>
    </xf>
    <xf numFmtId="49" fontId="85" fillId="0" borderId="0" xfId="0" applyNumberFormat="1" applyFont="1" applyAlignment="1">
      <alignment vertical="top" wrapText="1"/>
    </xf>
    <xf numFmtId="49" fontId="85" fillId="0" borderId="0" xfId="0" applyNumberFormat="1" applyFont="1">
      <alignment vertical="top"/>
    </xf>
    <xf numFmtId="49" fontId="85" fillId="0" borderId="0" xfId="0" applyNumberFormat="1" applyFont="1" applyAlignment="1">
      <alignment horizontal="center" vertical="top" wrapText="1"/>
    </xf>
    <xf numFmtId="49" fontId="85" fillId="0" borderId="0" xfId="0" applyNumberFormat="1" applyFont="1" applyAlignment="1">
      <alignment horizontal="left" vertical="top" wrapText="1"/>
    </xf>
    <xf numFmtId="49" fontId="85" fillId="7" borderId="0" xfId="0" applyNumberFormat="1" applyFont="1" applyFill="1" applyAlignment="1">
      <alignment horizontal="left" vertical="top" wrapText="1"/>
    </xf>
    <xf numFmtId="0" fontId="85" fillId="0" borderId="0" xfId="0" applyNumberFormat="1" applyFont="1" applyAlignment="1">
      <alignment vertical="top" wrapText="1"/>
    </xf>
    <xf numFmtId="49" fontId="8" fillId="0" borderId="0" xfId="0" applyNumberFormat="1" applyFont="1" applyAlignment="1">
      <alignment horizontal="center" vertical="top"/>
    </xf>
    <xf numFmtId="49" fontId="117" fillId="13" borderId="7" xfId="0" applyNumberFormat="1" applyFont="1" applyFill="1" applyBorder="1" applyAlignment="1">
      <alignment vertical="top" wrapText="1"/>
    </xf>
    <xf numFmtId="49" fontId="117" fillId="13" borderId="5" xfId="0" applyNumberFormat="1" applyFont="1" applyFill="1" applyBorder="1" applyAlignment="1">
      <alignment vertical="top" wrapText="1"/>
    </xf>
    <xf numFmtId="0" fontId="117" fillId="15" borderId="4" xfId="0" applyNumberFormat="1" applyFont="1" applyFill="1" applyBorder="1" applyAlignment="1">
      <alignment horizontal="left" vertical="center" wrapText="1" indent="1"/>
    </xf>
    <xf numFmtId="49" fontId="117" fillId="13" borderId="44" xfId="0" applyNumberFormat="1" applyFont="1" applyFill="1" applyBorder="1" applyAlignment="1">
      <alignment vertical="top" wrapText="1"/>
    </xf>
    <xf numFmtId="0" fontId="116" fillId="14" borderId="4" xfId="0" applyNumberFormat="1" applyFont="1" applyFill="1" applyBorder="1" applyAlignment="1" applyProtection="1">
      <alignment horizontal="left" vertical="center" wrapText="1" indent="2"/>
      <protection locked="0"/>
    </xf>
    <xf numFmtId="0" fontId="118" fillId="0" borderId="4" xfId="0" applyNumberFormat="1" applyFont="1" applyBorder="1" applyAlignment="1">
      <alignment horizontal="left" vertical="center" wrapText="1" indent="2"/>
    </xf>
    <xf numFmtId="4" fontId="113" fillId="6" borderId="4" xfId="0" applyNumberFormat="1" applyFont="1" applyFill="1" applyBorder="1" applyAlignment="1" applyProtection="1">
      <alignment horizontal="right" vertical="center" wrapText="1"/>
      <protection locked="0"/>
    </xf>
    <xf numFmtId="4" fontId="113" fillId="0" borderId="4" xfId="0" applyNumberFormat="1" applyFont="1" applyBorder="1" applyAlignment="1">
      <alignment horizontal="right" vertical="center" wrapText="1"/>
    </xf>
    <xf numFmtId="168" fontId="113" fillId="6" borderId="4" xfId="0" applyNumberFormat="1" applyFont="1" applyFill="1" applyBorder="1" applyAlignment="1" applyProtection="1">
      <alignment horizontal="right" vertical="center" wrapText="1"/>
      <protection locked="0"/>
    </xf>
    <xf numFmtId="4" fontId="115" fillId="0" borderId="4" xfId="0" applyNumberFormat="1" applyFont="1" applyBorder="1" applyAlignment="1">
      <alignment horizontal="center" vertical="center" wrapText="1"/>
    </xf>
    <xf numFmtId="4" fontId="114" fillId="0" borderId="4" xfId="0" applyNumberFormat="1" applyFont="1" applyBorder="1" applyAlignment="1">
      <alignment horizontal="right" vertical="center" wrapText="1"/>
    </xf>
    <xf numFmtId="168" fontId="114" fillId="0" borderId="4" xfId="0" applyNumberFormat="1" applyFont="1" applyBorder="1" applyAlignment="1">
      <alignment horizontal="right" vertical="center" wrapText="1"/>
    </xf>
    <xf numFmtId="0" fontId="59" fillId="0" borderId="0" xfId="0" applyNumberFormat="1" applyFont="1" applyAlignment="1">
      <alignment vertical="center" wrapText="1"/>
    </xf>
    <xf numFmtId="0" fontId="39" fillId="0" borderId="0" xfId="0" applyNumberFormat="1" applyFont="1" applyAlignment="1">
      <alignment horizontal="left" vertical="center" wrapText="1"/>
    </xf>
    <xf numFmtId="4" fontId="113" fillId="0" borderId="9" xfId="0" applyNumberFormat="1" applyFont="1" applyBorder="1" applyAlignment="1">
      <alignment horizontal="right" vertical="center" wrapText="1"/>
    </xf>
    <xf numFmtId="4" fontId="113" fillId="0" borderId="15" xfId="0" applyNumberFormat="1" applyFont="1" applyBorder="1" applyAlignment="1">
      <alignment horizontal="right" vertical="center" wrapText="1"/>
    </xf>
    <xf numFmtId="0" fontId="32" fillId="0" borderId="0" xfId="0" applyNumberFormat="1" applyFont="1" applyAlignment="1">
      <alignment vertical="center" wrapText="1"/>
    </xf>
    <xf numFmtId="168" fontId="113" fillId="0" borderId="4" xfId="0" applyNumberFormat="1" applyFont="1" applyBorder="1" applyAlignment="1">
      <alignment horizontal="right" vertical="center" wrapText="1"/>
    </xf>
    <xf numFmtId="168" fontId="113" fillId="6" borderId="6" xfId="0" applyNumberFormat="1" applyFont="1" applyFill="1" applyBorder="1" applyAlignment="1" applyProtection="1">
      <alignment horizontal="right" vertical="center" wrapText="1"/>
      <protection locked="0"/>
    </xf>
    <xf numFmtId="4" fontId="113" fillId="6" borderId="5" xfId="0" applyNumberFormat="1" applyFont="1" applyFill="1" applyBorder="1" applyAlignment="1" applyProtection="1">
      <alignment horizontal="right" vertical="center" wrapText="1"/>
      <protection locked="0"/>
    </xf>
    <xf numFmtId="4" fontId="115" fillId="0" borderId="6" xfId="0" applyNumberFormat="1" applyFont="1" applyBorder="1" applyAlignment="1">
      <alignment horizontal="center" vertical="center" wrapText="1"/>
    </xf>
    <xf numFmtId="4" fontId="113" fillId="0" borderId="5" xfId="0" applyNumberFormat="1" applyFont="1" applyBorder="1" applyAlignment="1">
      <alignment horizontal="right" vertical="center" wrapText="1"/>
    </xf>
    <xf numFmtId="4" fontId="113" fillId="13" borderId="7" xfId="0" applyNumberFormat="1" applyFont="1" applyFill="1" applyBorder="1" applyAlignment="1">
      <alignment horizontal="right" vertical="center" wrapText="1"/>
    </xf>
    <xf numFmtId="4" fontId="115" fillId="13" borderId="7" xfId="0" applyNumberFormat="1" applyFont="1" applyFill="1" applyBorder="1" applyAlignment="1">
      <alignment horizontal="center" vertical="center" wrapText="1"/>
    </xf>
    <xf numFmtId="4" fontId="113" fillId="13" borderId="5" xfId="0" applyNumberFormat="1" applyFont="1" applyFill="1" applyBorder="1" applyAlignment="1">
      <alignment horizontal="right" vertical="center" wrapText="1"/>
    </xf>
    <xf numFmtId="49" fontId="39" fillId="0" borderId="0" xfId="0" applyNumberFormat="1" applyFont="1" applyAlignment="1">
      <alignment vertical="center" wrapText="1"/>
    </xf>
    <xf numFmtId="0" fontId="46" fillId="0" borderId="0" xfId="0" applyNumberFormat="1" applyFont="1" applyAlignment="1">
      <alignment vertical="center" wrapText="1"/>
    </xf>
    <xf numFmtId="168" fontId="113" fillId="13" borderId="5" xfId="0" applyNumberFormat="1" applyFont="1" applyFill="1" applyBorder="1" applyAlignment="1">
      <alignment horizontal="right" vertical="center" wrapText="1"/>
    </xf>
    <xf numFmtId="168" fontId="113" fillId="13" borderId="7" xfId="0" applyNumberFormat="1" applyFont="1" applyFill="1" applyBorder="1" applyAlignment="1">
      <alignment horizontal="right" vertical="center" wrapText="1"/>
    </xf>
    <xf numFmtId="4" fontId="113" fillId="0" borderId="28" xfId="0" applyNumberFormat="1" applyFont="1" applyBorder="1" applyAlignment="1">
      <alignment horizontal="right" vertical="center" wrapText="1"/>
    </xf>
    <xf numFmtId="4" fontId="115" fillId="13" borderId="5" xfId="0" applyNumberFormat="1" applyFont="1" applyFill="1" applyBorder="1" applyAlignment="1">
      <alignment horizontal="center" vertical="center" wrapText="1"/>
    </xf>
    <xf numFmtId="4" fontId="115" fillId="0" borderId="4" xfId="0" applyNumberFormat="1" applyFont="1" applyBorder="1" applyAlignment="1">
      <alignment horizontal="right" vertical="center" wrapText="1"/>
    </xf>
    <xf numFmtId="168" fontId="115" fillId="0" borderId="4" xfId="0" applyNumberFormat="1" applyFont="1" applyBorder="1" applyAlignment="1">
      <alignment horizontal="right" vertical="center" wrapText="1"/>
    </xf>
    <xf numFmtId="0" fontId="39" fillId="0" borderId="0" xfId="0" applyNumberFormat="1" applyFont="1" applyAlignment="1">
      <alignment horizontal="left" vertical="center"/>
    </xf>
    <xf numFmtId="49" fontId="40" fillId="0" borderId="0" xfId="0" applyNumberFormat="1" applyFont="1" applyAlignment="1">
      <alignment vertical="center" wrapText="1"/>
    </xf>
    <xf numFmtId="0" fontId="25" fillId="0" borderId="0" xfId="0" applyNumberFormat="1" applyFont="1" applyAlignment="1">
      <alignment horizontal="center" vertical="center" wrapText="1"/>
    </xf>
    <xf numFmtId="49" fontId="0" fillId="0" borderId="0" xfId="0" applyNumberFormat="1" applyFont="1" applyAlignment="1">
      <alignment vertical="center" wrapText="1"/>
    </xf>
    <xf numFmtId="0" fontId="116" fillId="14" borderId="4" xfId="0" applyNumberFormat="1" applyFont="1" applyFill="1" applyBorder="1" applyAlignment="1" applyProtection="1">
      <alignment horizontal="left" vertical="center" wrapText="1" indent="1"/>
      <protection locked="0"/>
    </xf>
    <xf numFmtId="0" fontId="116" fillId="0" borderId="4" xfId="0" applyNumberFormat="1" applyFont="1" applyBorder="1" applyAlignment="1">
      <alignment horizontal="left" vertical="center" wrapText="1" indent="1"/>
    </xf>
    <xf numFmtId="0" fontId="116" fillId="14" borderId="4" xfId="0" applyNumberFormat="1" applyFont="1" applyFill="1" applyBorder="1" applyAlignment="1" applyProtection="1">
      <alignment horizontal="left" vertical="center" wrapText="1"/>
      <protection locked="0"/>
    </xf>
    <xf numFmtId="0" fontId="116" fillId="0" borderId="4" xfId="0" applyNumberFormat="1" applyFont="1" applyBorder="1" applyAlignment="1">
      <alignment horizontal="left" vertical="center" wrapText="1" indent="2"/>
    </xf>
    <xf numFmtId="49" fontId="116" fillId="14" borderId="4" xfId="0" applyNumberFormat="1" applyFont="1" applyFill="1" applyBorder="1" applyAlignment="1" applyProtection="1">
      <alignment horizontal="left" vertical="center" wrapText="1" indent="1"/>
      <protection locked="0"/>
    </xf>
    <xf numFmtId="0" fontId="73" fillId="0" borderId="0" xfId="0" applyNumberFormat="1" applyFont="1" applyAlignment="1">
      <alignment vertical="center" wrapText="1"/>
    </xf>
    <xf numFmtId="0" fontId="29" fillId="0" borderId="0" xfId="0" applyNumberFormat="1" applyFont="1" applyAlignment="1">
      <alignment horizontal="center" vertical="center" wrapText="1"/>
    </xf>
    <xf numFmtId="4" fontId="116" fillId="14" borderId="4" xfId="0" applyNumberFormat="1" applyFont="1" applyFill="1" applyBorder="1" applyAlignment="1" applyProtection="1">
      <alignment horizontal="right" vertical="center" wrapText="1"/>
      <protection locked="0"/>
    </xf>
    <xf numFmtId="4" fontId="113" fillId="0" borderId="29" xfId="0" applyNumberFormat="1" applyFont="1" applyBorder="1" applyAlignment="1">
      <alignment horizontal="right" vertical="center" wrapText="1"/>
    </xf>
    <xf numFmtId="4" fontId="113" fillId="0" borderId="19" xfId="0" applyNumberFormat="1" applyFont="1" applyBorder="1" applyAlignment="1">
      <alignment horizontal="right" vertical="center" wrapText="1"/>
    </xf>
    <xf numFmtId="0" fontId="8" fillId="0" borderId="21" xfId="0" applyNumberFormat="1" applyFont="1" applyBorder="1" applyAlignment="1">
      <alignment horizontal="center" vertical="center" wrapText="1"/>
    </xf>
    <xf numFmtId="0" fontId="8" fillId="14" borderId="4" xfId="0" applyNumberFormat="1" applyFont="1" applyFill="1" applyBorder="1" applyAlignment="1" applyProtection="1">
      <alignment horizontal="left" vertical="center" wrapText="1" indent="2"/>
      <protection locked="0"/>
    </xf>
    <xf numFmtId="0" fontId="40" fillId="0" borderId="21" xfId="0" applyNumberFormat="1" applyFont="1" applyBorder="1" applyAlignment="1">
      <alignment horizontal="center" vertical="center" wrapText="1"/>
    </xf>
    <xf numFmtId="0" fontId="40" fillId="0" borderId="4" xfId="0" applyNumberFormat="1" applyFont="1" applyBorder="1" applyAlignment="1">
      <alignment horizontal="left" vertical="center" wrapText="1" indent="2"/>
    </xf>
    <xf numFmtId="0" fontId="40" fillId="0" borderId="4" xfId="0" applyNumberFormat="1" applyFont="1" applyBorder="1" applyAlignment="1">
      <alignment horizontal="center" vertical="center" wrapText="1"/>
    </xf>
    <xf numFmtId="0" fontId="8" fillId="0" borderId="4" xfId="0" applyNumberFormat="1" applyFont="1" applyBorder="1" applyAlignment="1">
      <alignment horizontal="left" vertical="center" wrapText="1" indent="3"/>
    </xf>
    <xf numFmtId="49" fontId="8" fillId="14" borderId="4" xfId="0" applyNumberFormat="1" applyFont="1" applyFill="1" applyBorder="1" applyAlignment="1" applyProtection="1">
      <alignment horizontal="center" vertical="center" wrapText="1"/>
      <protection locked="0"/>
    </xf>
    <xf numFmtId="4" fontId="8" fillId="6" borderId="4" xfId="0" applyNumberFormat="1" applyFont="1" applyFill="1" applyBorder="1" applyAlignment="1" applyProtection="1">
      <alignment horizontal="right" vertical="center" wrapText="1"/>
      <protection locked="0"/>
    </xf>
    <xf numFmtId="0" fontId="8" fillId="6" borderId="4" xfId="0" applyNumberFormat="1" applyFont="1" applyFill="1" applyBorder="1" applyAlignment="1" applyProtection="1">
      <alignment horizontal="left" vertical="center" wrapText="1"/>
      <protection locked="0"/>
    </xf>
    <xf numFmtId="49" fontId="81" fillId="0" borderId="0" xfId="0" applyNumberFormat="1" applyFont="1" applyAlignment="1">
      <alignment horizontal="center" vertical="center" wrapText="1"/>
    </xf>
    <xf numFmtId="0" fontId="8" fillId="0" borderId="5" xfId="0" applyNumberFormat="1" applyFont="1" applyBorder="1" applyAlignment="1">
      <alignment vertical="top" wrapText="1"/>
    </xf>
    <xf numFmtId="169" fontId="8" fillId="6" borderId="4" xfId="0" applyNumberFormat="1" applyFont="1" applyFill="1" applyBorder="1" applyAlignment="1" applyProtection="1">
      <alignment horizontal="right" vertical="center" wrapText="1"/>
      <protection locked="0"/>
    </xf>
    <xf numFmtId="0" fontId="63" fillId="0" borderId="0" xfId="0" applyNumberFormat="1" applyFont="1" applyAlignment="1">
      <alignment vertical="center" wrapText="1"/>
    </xf>
    <xf numFmtId="0" fontId="25" fillId="0" borderId="0" xfId="0" applyNumberFormat="1" applyFont="1" applyAlignment="1">
      <alignment horizontal="left" vertical="center" wrapText="1"/>
    </xf>
    <xf numFmtId="0" fontId="74" fillId="0" borderId="0" xfId="0" applyNumberFormat="1" applyFont="1" applyAlignment="1">
      <alignment vertical="center" wrapText="1"/>
    </xf>
    <xf numFmtId="0" fontId="44" fillId="0" borderId="0" xfId="0" applyNumberFormat="1" applyFont="1" applyAlignment="1">
      <alignment vertical="center" wrapText="1"/>
    </xf>
    <xf numFmtId="0" fontId="53" fillId="0" borderId="0" xfId="0" applyNumberFormat="1" applyFont="1" applyAlignment="1">
      <alignment vertical="center" wrapText="1"/>
    </xf>
    <xf numFmtId="0" fontId="8" fillId="0" borderId="11" xfId="0" applyNumberFormat="1" applyFont="1" applyBorder="1" applyAlignment="1">
      <alignment horizontal="left" vertical="center" wrapText="1" indent="1"/>
    </xf>
    <xf numFmtId="0" fontId="8" fillId="0" borderId="20" xfId="0" applyNumberFormat="1" applyFont="1" applyBorder="1" applyAlignment="1">
      <alignment horizontal="left" vertical="center" wrapText="1" indent="1"/>
    </xf>
    <xf numFmtId="0" fontId="8" fillId="0" borderId="0" xfId="0" applyNumberFormat="1" applyFont="1" applyAlignment="1">
      <alignment horizontal="left" vertical="center" wrapText="1"/>
    </xf>
    <xf numFmtId="0" fontId="8" fillId="9" borderId="11" xfId="0" applyNumberFormat="1" applyFont="1" applyFill="1" applyBorder="1" applyAlignment="1">
      <alignment vertical="center" wrapText="1"/>
    </xf>
    <xf numFmtId="0" fontId="40" fillId="0" borderId="31" xfId="0" applyNumberFormat="1" applyFont="1" applyBorder="1" applyAlignment="1">
      <alignment vertical="center" wrapText="1"/>
    </xf>
    <xf numFmtId="0" fontId="8" fillId="0" borderId="35" xfId="0" applyNumberFormat="1" applyFont="1" applyBorder="1" applyAlignment="1">
      <alignment horizontal="center" vertical="center"/>
    </xf>
    <xf numFmtId="49" fontId="0" fillId="11" borderId="4" xfId="0" applyNumberFormat="1" applyFont="1" applyFill="1" applyBorder="1" applyAlignment="1">
      <alignment horizontal="center" vertical="center"/>
    </xf>
    <xf numFmtId="49" fontId="0" fillId="0" borderId="4" xfId="0" applyNumberFormat="1" applyFont="1" applyBorder="1" applyAlignment="1">
      <alignment vertical="center" wrapText="1"/>
    </xf>
    <xf numFmtId="4" fontId="0" fillId="6" borderId="4" xfId="0" applyNumberFormat="1" applyFont="1" applyFill="1" applyBorder="1" applyAlignment="1" applyProtection="1">
      <alignment horizontal="right" vertical="center" wrapText="1"/>
      <protection locked="0"/>
    </xf>
    <xf numFmtId="49" fontId="25" fillId="0" borderId="0" xfId="0" applyNumberFormat="1" applyFont="1" applyAlignment="1">
      <alignment horizontal="center" vertical="center" wrapText="1"/>
    </xf>
    <xf numFmtId="49" fontId="38" fillId="0" borderId="0" xfId="0" applyNumberFormat="1" applyFont="1" applyAlignment="1">
      <alignment horizontal="center" vertical="center" wrapText="1"/>
    </xf>
    <xf numFmtId="49" fontId="8" fillId="0" borderId="0" xfId="0" applyNumberFormat="1" applyFont="1" applyAlignment="1">
      <alignment vertical="center"/>
    </xf>
    <xf numFmtId="0" fontId="38" fillId="0" borderId="0" xfId="0" applyNumberFormat="1" applyFont="1" applyAlignment="1">
      <alignment vertical="center" wrapText="1"/>
    </xf>
    <xf numFmtId="49" fontId="38" fillId="0" borderId="0" xfId="0" applyNumberFormat="1" applyFont="1" applyAlignment="1">
      <alignment vertical="center" wrapText="1"/>
    </xf>
    <xf numFmtId="49" fontId="89" fillId="0" borderId="0" xfId="0" applyNumberFormat="1" applyFont="1" applyAlignment="1">
      <alignment vertical="center" wrapText="1"/>
    </xf>
    <xf numFmtId="49" fontId="8" fillId="0" borderId="0" xfId="0" applyNumberFormat="1" applyFont="1" applyAlignment="1">
      <alignment vertical="center" wrapText="1"/>
    </xf>
    <xf numFmtId="0" fontId="25" fillId="0" borderId="0" xfId="0" applyNumberFormat="1" applyFont="1" applyAlignment="1">
      <alignment vertical="center" wrapText="1"/>
    </xf>
    <xf numFmtId="49" fontId="25" fillId="0" borderId="0" xfId="0" applyNumberFormat="1" applyFont="1">
      <alignment vertical="top"/>
    </xf>
    <xf numFmtId="49" fontId="30" fillId="0" borderId="0" xfId="0" applyNumberFormat="1" applyFont="1" applyAlignment="1">
      <alignment horizontal="center" vertical="center"/>
    </xf>
    <xf numFmtId="0" fontId="8" fillId="9" borderId="0" xfId="0" applyNumberFormat="1" applyFont="1" applyFill="1" applyAlignment="1"/>
    <xf numFmtId="0" fontId="30" fillId="0" borderId="0" xfId="0" applyNumberFormat="1" applyFont="1" applyAlignment="1">
      <alignment horizontal="center" vertical="center"/>
    </xf>
    <xf numFmtId="0" fontId="57" fillId="9" borderId="0" xfId="0" applyNumberFormat="1" applyFont="1" applyFill="1" applyAlignment="1"/>
    <xf numFmtId="0" fontId="35" fillId="0" borderId="0" xfId="0" applyNumberFormat="1" applyFont="1" applyAlignment="1">
      <alignment horizontal="center" vertical="center" wrapText="1"/>
    </xf>
    <xf numFmtId="0" fontId="8" fillId="0" borderId="0" xfId="0" applyNumberFormat="1" applyFont="1" applyAlignment="1">
      <alignment horizontal="center" vertical="center" wrapText="1"/>
    </xf>
    <xf numFmtId="0" fontId="8" fillId="0" borderId="0" xfId="0" applyNumberFormat="1" applyFont="1" applyAlignment="1"/>
    <xf numFmtId="0" fontId="1" fillId="0" borderId="0" xfId="0" applyNumberFormat="1" applyFont="1" applyAlignment="1"/>
    <xf numFmtId="0" fontId="21" fillId="0" borderId="0" xfId="0" applyNumberFormat="1" applyFont="1" applyAlignment="1"/>
    <xf numFmtId="0" fontId="0" fillId="0" borderId="0" xfId="0" applyNumberFormat="1" applyFont="1">
      <alignment vertical="top"/>
    </xf>
    <xf numFmtId="49" fontId="0" fillId="0" borderId="0" xfId="0" applyNumberFormat="1" applyFont="1">
      <alignment vertical="top"/>
    </xf>
    <xf numFmtId="49" fontId="0" fillId="12" borderId="0" xfId="0" applyNumberFormat="1" applyFont="1" applyFill="1">
      <alignment vertical="top"/>
    </xf>
    <xf numFmtId="0" fontId="8" fillId="9" borderId="4" xfId="0" applyNumberFormat="1" applyFont="1" applyFill="1" applyBorder="1" applyAlignment="1">
      <alignment horizontal="center" vertical="center"/>
    </xf>
    <xf numFmtId="49" fontId="8" fillId="14" borderId="4" xfId="0" applyNumberFormat="1" applyFont="1" applyFill="1" applyBorder="1" applyAlignment="1" applyProtection="1">
      <alignment horizontal="left" vertical="center" wrapText="1"/>
      <protection locked="0"/>
    </xf>
    <xf numFmtId="49" fontId="8" fillId="6" borderId="4" xfId="0" applyNumberFormat="1" applyFont="1" applyFill="1" applyBorder="1" applyAlignment="1" applyProtection="1">
      <alignment horizontal="left" vertical="center" wrapText="1"/>
      <protection locked="0"/>
    </xf>
    <xf numFmtId="0" fontId="39" fillId="0" borderId="0" xfId="0" applyNumberFormat="1" applyFont="1" applyAlignment="1">
      <alignment horizontal="center" vertical="center" wrapText="1"/>
    </xf>
    <xf numFmtId="0" fontId="39" fillId="0" borderId="0" xfId="0" applyNumberFormat="1" applyFont="1" applyAlignment="1">
      <alignment vertical="center" wrapText="1"/>
    </xf>
    <xf numFmtId="0" fontId="30" fillId="0" borderId="0" xfId="0" applyNumberFormat="1" applyFont="1" applyAlignment="1">
      <alignment horizontal="center" vertical="center" wrapText="1"/>
    </xf>
    <xf numFmtId="0" fontId="8" fillId="0" borderId="4" xfId="0" applyNumberFormat="1" applyFont="1" applyBorder="1" applyAlignment="1">
      <alignment horizontal="center" vertical="center" wrapText="1"/>
    </xf>
    <xf numFmtId="0" fontId="40" fillId="0" borderId="4" xfId="0" applyNumberFormat="1" applyFont="1" applyBorder="1" applyAlignment="1">
      <alignment horizontal="center" vertical="center"/>
    </xf>
    <xf numFmtId="49" fontId="8" fillId="14" borderId="4" xfId="0" applyNumberFormat="1" applyFont="1" applyFill="1" applyBorder="1" applyAlignment="1" applyProtection="1">
      <alignment vertical="center" wrapText="1"/>
      <protection locked="0"/>
    </xf>
    <xf numFmtId="49" fontId="39" fillId="0" borderId="4" xfId="0" applyNumberFormat="1" applyFont="1" applyBorder="1" applyAlignment="1">
      <alignment horizontal="left" vertical="center" wrapText="1"/>
    </xf>
    <xf numFmtId="0" fontId="40" fillId="0" borderId="0" xfId="0" applyNumberFormat="1" applyFont="1" applyAlignment="1">
      <alignment vertical="center"/>
    </xf>
    <xf numFmtId="0" fontId="45" fillId="0" borderId="0" xfId="0" applyNumberFormat="1" applyFont="1" applyAlignment="1">
      <alignment vertical="center"/>
    </xf>
    <xf numFmtId="0" fontId="29" fillId="0" borderId="16" xfId="0" applyNumberFormat="1" applyFont="1" applyBorder="1" applyAlignment="1">
      <alignment vertical="top" wrapText="1"/>
    </xf>
    <xf numFmtId="0" fontId="8" fillId="0" borderId="15" xfId="0" applyNumberFormat="1" applyFont="1" applyBorder="1" applyAlignment="1">
      <alignment horizontal="center" vertical="center" wrapText="1"/>
    </xf>
    <xf numFmtId="0" fontId="39" fillId="0" borderId="15" xfId="0" applyNumberFormat="1" applyFont="1" applyBorder="1" applyAlignment="1">
      <alignment horizontal="center" vertical="center" wrapText="1"/>
    </xf>
    <xf numFmtId="14" fontId="8" fillId="15" borderId="15" xfId="0" applyNumberFormat="1" applyFont="1" applyFill="1" applyBorder="1" applyAlignment="1">
      <alignment horizontal="left" vertical="center" wrapText="1" indent="1"/>
    </xf>
    <xf numFmtId="49" fontId="8" fillId="11" borderId="15" xfId="0" applyNumberFormat="1" applyFont="1" applyFill="1" applyBorder="1" applyAlignment="1">
      <alignment horizontal="center" vertical="center" wrapText="1"/>
    </xf>
    <xf numFmtId="0" fontId="40" fillId="0" borderId="0" xfId="0" applyNumberFormat="1" applyFont="1" applyAlignment="1">
      <alignment vertical="center" wrapText="1"/>
    </xf>
    <xf numFmtId="0" fontId="64" fillId="0" borderId="0" xfId="0" applyNumberFormat="1" applyFont="1" applyAlignment="1">
      <alignment vertical="center" wrapText="1"/>
    </xf>
    <xf numFmtId="49" fontId="39" fillId="0" borderId="0" xfId="0" applyNumberFormat="1" applyFont="1">
      <alignment vertical="top"/>
    </xf>
    <xf numFmtId="49" fontId="40" fillId="0" borderId="0" xfId="0" applyNumberFormat="1" applyFont="1">
      <alignment vertical="top"/>
    </xf>
    <xf numFmtId="0" fontId="29" fillId="0" borderId="0" xfId="0" applyNumberFormat="1" applyFont="1" applyAlignment="1">
      <alignment vertical="top" wrapText="1"/>
    </xf>
    <xf numFmtId="49" fontId="19" fillId="13" borderId="6" xfId="0" applyNumberFormat="1" applyFont="1" applyFill="1" applyBorder="1" applyAlignment="1">
      <alignment horizontal="right" vertical="center" wrapText="1"/>
    </xf>
    <xf numFmtId="49" fontId="19" fillId="13" borderId="7" xfId="0" applyNumberFormat="1" applyFont="1" applyFill="1" applyBorder="1" applyAlignment="1">
      <alignment horizontal="right" vertical="center" wrapText="1"/>
    </xf>
    <xf numFmtId="49" fontId="33" fillId="13" borderId="7" xfId="0" applyNumberFormat="1" applyFont="1" applyFill="1" applyBorder="1" applyAlignment="1">
      <alignment horizontal="left" vertical="center" indent="1"/>
    </xf>
    <xf numFmtId="49" fontId="0" fillId="13" borderId="7" xfId="0" applyNumberFormat="1" applyFont="1" applyFill="1" applyBorder="1" applyAlignment="1">
      <alignment horizontal="right" vertical="center" wrapText="1"/>
    </xf>
    <xf numFmtId="49" fontId="0" fillId="13" borderId="5" xfId="0" applyNumberFormat="1" applyFont="1" applyFill="1" applyBorder="1" applyAlignment="1">
      <alignment horizontal="right" vertical="center" wrapText="1"/>
    </xf>
    <xf numFmtId="49" fontId="43" fillId="12" borderId="0" xfId="0" applyNumberFormat="1" applyFont="1" applyFill="1">
      <alignment vertical="top"/>
    </xf>
    <xf numFmtId="49" fontId="43" fillId="0" borderId="0" xfId="0" applyNumberFormat="1" applyFont="1">
      <alignment vertical="top"/>
    </xf>
    <xf numFmtId="49" fontId="65" fillId="0" borderId="4" xfId="0" applyNumberFormat="1" applyFont="1" applyBorder="1" applyAlignment="1">
      <alignment horizontal="left" vertical="center" wrapText="1" indent="1"/>
    </xf>
    <xf numFmtId="0" fontId="39" fillId="0" borderId="0" xfId="0" applyNumberFormat="1" applyFont="1" applyAlignment="1">
      <alignment vertical="center"/>
    </xf>
    <xf numFmtId="0" fontId="64" fillId="0" borderId="0" xfId="0" applyNumberFormat="1" applyFont="1" applyAlignment="1">
      <alignment vertical="center"/>
    </xf>
    <xf numFmtId="49" fontId="33" fillId="13" borderId="5" xfId="0" applyNumberFormat="1" applyFont="1" applyFill="1" applyBorder="1" applyAlignment="1">
      <alignment horizontal="left" vertical="center" indent="1"/>
    </xf>
    <xf numFmtId="49" fontId="33" fillId="13" borderId="7" xfId="0" applyNumberFormat="1" applyFont="1" applyFill="1" applyBorder="1" applyAlignment="1">
      <alignment horizontal="left" vertical="center" indent="1"/>
    </xf>
    <xf numFmtId="49" fontId="19" fillId="13" borderId="5" xfId="0" applyNumberFormat="1" applyFont="1" applyFill="1" applyBorder="1" applyAlignment="1">
      <alignment horizontal="right" vertical="center" wrapText="1"/>
    </xf>
    <xf numFmtId="49" fontId="0" fillId="0" borderId="4" xfId="0" applyNumberFormat="1" applyFont="1" applyBorder="1">
      <alignment vertical="top"/>
    </xf>
    <xf numFmtId="49" fontId="65" fillId="14" borderId="4" xfId="0" applyNumberFormat="1" applyFont="1" applyFill="1" applyBorder="1" applyAlignment="1" applyProtection="1">
      <alignment horizontal="left" vertical="center" wrapText="1" indent="1"/>
      <protection locked="0"/>
    </xf>
    <xf numFmtId="0" fontId="39" fillId="0" borderId="14" xfId="0" applyNumberFormat="1" applyFont="1" applyBorder="1" applyAlignment="1">
      <alignment vertical="center"/>
    </xf>
    <xf numFmtId="49" fontId="8" fillId="9" borderId="0" xfId="0" applyNumberFormat="1" applyFont="1" applyFill="1" applyAlignment="1">
      <alignment horizontal="center" vertical="center" wrapText="1"/>
    </xf>
    <xf numFmtId="0" fontId="8" fillId="9" borderId="0" xfId="0" applyNumberFormat="1" applyFont="1" applyFill="1" applyAlignment="1">
      <alignment vertical="center" wrapText="1"/>
    </xf>
    <xf numFmtId="49" fontId="0" fillId="14" borderId="4" xfId="0" applyNumberFormat="1" applyFont="1" applyFill="1" applyBorder="1" applyAlignment="1" applyProtection="1">
      <alignment horizontal="left" vertical="center" wrapText="1" indent="1"/>
      <protection locked="0"/>
    </xf>
    <xf numFmtId="49" fontId="8" fillId="15" borderId="6" xfId="0" applyNumberFormat="1" applyFont="1" applyFill="1" applyBorder="1" applyAlignment="1">
      <alignment horizontal="left" vertical="center" wrapText="1"/>
    </xf>
    <xf numFmtId="0" fontId="55" fillId="9" borderId="0" xfId="0" applyNumberFormat="1" applyFont="1" applyFill="1" applyAlignment="1"/>
    <xf numFmtId="49" fontId="8" fillId="14" borderId="6" xfId="0" applyNumberFormat="1" applyFont="1" applyFill="1" applyBorder="1" applyAlignment="1" applyProtection="1">
      <alignment horizontal="left" vertical="center" wrapText="1"/>
      <protection locked="0"/>
    </xf>
    <xf numFmtId="0" fontId="30" fillId="9" borderId="0" xfId="0" applyNumberFormat="1" applyFont="1" applyFill="1" applyAlignment="1">
      <alignment vertical="top" wrapText="1"/>
    </xf>
    <xf numFmtId="0" fontId="8" fillId="9" borderId="6" xfId="0" applyNumberFormat="1" applyFont="1" applyFill="1" applyBorder="1" applyAlignment="1">
      <alignment horizontal="center" vertical="center" wrapText="1"/>
    </xf>
    <xf numFmtId="0" fontId="40" fillId="9" borderId="4" xfId="0" applyNumberFormat="1" applyFont="1" applyFill="1" applyBorder="1" applyAlignment="1">
      <alignment horizontal="center" vertical="center" wrapText="1"/>
    </xf>
    <xf numFmtId="14" fontId="8" fillId="15" borderId="22" xfId="0" applyNumberFormat="1" applyFont="1" applyFill="1" applyBorder="1" applyAlignment="1">
      <alignment horizontal="left" vertical="center" wrapText="1"/>
    </xf>
    <xf numFmtId="14" fontId="8" fillId="15" borderId="4" xfId="0" applyNumberFormat="1" applyFont="1" applyFill="1" applyBorder="1" applyAlignment="1">
      <alignment horizontal="center" vertical="center" wrapText="1"/>
    </xf>
    <xf numFmtId="0" fontId="40" fillId="0" borderId="0" xfId="0" applyNumberFormat="1" applyFont="1" applyAlignment="1">
      <alignment horizontal="left" vertical="center" wrapText="1"/>
    </xf>
    <xf numFmtId="49" fontId="40" fillId="0" borderId="0" xfId="0" applyNumberFormat="1" applyFont="1" applyAlignment="1">
      <alignment horizontal="left" vertical="center" wrapText="1"/>
    </xf>
    <xf numFmtId="49" fontId="0" fillId="0" borderId="4" xfId="0" applyNumberFormat="1" applyFont="1" applyBorder="1" applyAlignment="1">
      <alignment horizontal="center" vertical="center" wrapText="1"/>
    </xf>
    <xf numFmtId="49" fontId="0" fillId="0" borderId="4" xfId="0" applyNumberFormat="1" applyFont="1" applyBorder="1" applyAlignment="1">
      <alignment horizontal="left" vertical="center" wrapText="1"/>
    </xf>
    <xf numFmtId="0" fontId="8" fillId="15" borderId="6" xfId="0" applyNumberFormat="1" applyFont="1" applyFill="1" applyBorder="1" applyAlignment="1">
      <alignment horizontal="left" vertical="center" wrapText="1"/>
    </xf>
    <xf numFmtId="3" fontId="0" fillId="14" borderId="4" xfId="0" applyNumberFormat="1" applyFont="1" applyFill="1" applyBorder="1" applyAlignment="1" applyProtection="1">
      <alignment horizontal="right" vertical="center" wrapText="1"/>
      <protection locked="0"/>
    </xf>
    <xf numFmtId="3" fontId="0" fillId="14" borderId="5" xfId="0" applyNumberFormat="1" applyFont="1" applyFill="1" applyBorder="1" applyAlignment="1" applyProtection="1">
      <alignment horizontal="right" vertical="center" wrapText="1"/>
      <protection locked="0"/>
    </xf>
    <xf numFmtId="0" fontId="0" fillId="6" borderId="4" xfId="0" applyNumberFormat="1" applyFont="1" applyFill="1" applyBorder="1" applyAlignment="1" applyProtection="1">
      <alignment horizontal="right" vertical="center" wrapText="1"/>
      <protection locked="0"/>
    </xf>
    <xf numFmtId="3" fontId="0" fillId="0" borderId="5" xfId="0" applyNumberFormat="1" applyFont="1" applyBorder="1" applyAlignment="1">
      <alignment horizontal="right" vertical="center" wrapText="1"/>
    </xf>
    <xf numFmtId="0" fontId="0" fillId="0" borderId="15" xfId="0" applyNumberFormat="1" applyFont="1" applyBorder="1" applyAlignment="1">
      <alignment horizontal="center" vertical="center" wrapText="1"/>
    </xf>
    <xf numFmtId="49" fontId="8" fillId="0" borderId="0" xfId="0" applyNumberFormat="1" applyFont="1">
      <alignment vertical="top"/>
    </xf>
    <xf numFmtId="49" fontId="8" fillId="0" borderId="4" xfId="0" applyNumberFormat="1" applyFont="1" applyBorder="1" applyAlignment="1">
      <alignment horizontal="center" vertical="center" wrapText="1"/>
    </xf>
    <xf numFmtId="170" fontId="0" fillId="14" borderId="4" xfId="0" applyNumberFormat="1" applyFont="1" applyFill="1" applyBorder="1" applyAlignment="1" applyProtection="1">
      <alignment horizontal="center" vertical="center" wrapText="1"/>
      <protection locked="0"/>
    </xf>
    <xf numFmtId="49" fontId="0" fillId="14" borderId="4" xfId="0" applyNumberFormat="1" applyFont="1" applyFill="1" applyBorder="1" applyAlignment="1" applyProtection="1">
      <alignment horizontal="center" vertical="center" wrapText="1"/>
      <protection locked="0"/>
    </xf>
    <xf numFmtId="0" fontId="40" fillId="0" borderId="0" xfId="0" applyNumberFormat="1" applyFont="1">
      <alignment vertical="top"/>
    </xf>
    <xf numFmtId="49" fontId="0" fillId="9" borderId="4" xfId="0" applyNumberFormat="1" applyFont="1" applyFill="1" applyBorder="1" applyAlignment="1">
      <alignment horizontal="center" vertical="center" wrapText="1"/>
    </xf>
    <xf numFmtId="0" fontId="116" fillId="14" borderId="6" xfId="0" applyNumberFormat="1" applyFont="1" applyFill="1" applyBorder="1" applyAlignment="1" applyProtection="1">
      <alignment horizontal="left" vertical="center" wrapText="1" indent="2"/>
      <protection locked="0"/>
    </xf>
    <xf numFmtId="49" fontId="39" fillId="0" borderId="0" xfId="0" applyNumberFormat="1" applyFont="1" applyAlignment="1">
      <alignment horizontal="center" vertical="center" wrapText="1"/>
    </xf>
    <xf numFmtId="0" fontId="30" fillId="0" borderId="16" xfId="0" applyNumberFormat="1" applyFont="1" applyBorder="1" applyAlignment="1">
      <alignment horizontal="center" vertical="center" wrapText="1"/>
    </xf>
    <xf numFmtId="49" fontId="8" fillId="14" borderId="9" xfId="0" applyNumberFormat="1" applyFont="1" applyFill="1" applyBorder="1" applyAlignment="1" applyProtection="1">
      <alignment horizontal="left" vertical="center" wrapText="1" indent="1"/>
      <protection locked="0"/>
    </xf>
    <xf numFmtId="0" fontId="8" fillId="0" borderId="16" xfId="0" applyNumberFormat="1" applyFont="1" applyBorder="1" applyAlignment="1">
      <alignment vertical="top" wrapText="1"/>
    </xf>
    <xf numFmtId="49" fontId="33" fillId="13" borderId="5" xfId="0" applyNumberFormat="1" applyFont="1" applyFill="1" applyBorder="1" applyAlignment="1">
      <alignment horizontal="left" vertical="center" indent="1"/>
    </xf>
    <xf numFmtId="49" fontId="8" fillId="0" borderId="28" xfId="0" applyNumberFormat="1" applyFont="1" applyBorder="1" applyAlignment="1">
      <alignment horizontal="center" vertical="top" wrapText="1"/>
    </xf>
    <xf numFmtId="0" fontId="0" fillId="11" borderId="28" xfId="0" applyNumberFormat="1" applyFont="1" applyFill="1" applyBorder="1" applyAlignment="1">
      <alignment horizontal="left" vertical="top" wrapText="1" indent="1"/>
    </xf>
    <xf numFmtId="49" fontId="8" fillId="15" borderId="28" xfId="0" applyNumberFormat="1" applyFont="1" applyFill="1" applyBorder="1" applyAlignment="1">
      <alignment horizontal="center" vertical="top" wrapText="1"/>
    </xf>
    <xf numFmtId="49" fontId="0" fillId="14" borderId="28" xfId="0" applyNumberFormat="1" applyFont="1" applyFill="1" applyBorder="1" applyAlignment="1" applyProtection="1">
      <alignment horizontal="center" vertical="top" wrapText="1"/>
      <protection locked="0"/>
    </xf>
    <xf numFmtId="49" fontId="0" fillId="6" borderId="28" xfId="0" applyNumberFormat="1" applyFont="1" applyFill="1" applyBorder="1" applyAlignment="1" applyProtection="1">
      <alignment horizontal="center" vertical="top" wrapText="1"/>
      <protection locked="0"/>
    </xf>
    <xf numFmtId="49" fontId="8" fillId="15" borderId="28" xfId="0" applyNumberFormat="1" applyFont="1" applyFill="1" applyBorder="1" applyAlignment="1">
      <alignment horizontal="left" vertical="top" wrapText="1"/>
    </xf>
    <xf numFmtId="49" fontId="8" fillId="14" borderId="28" xfId="0" applyNumberFormat="1" applyFont="1" applyFill="1" applyBorder="1" applyAlignment="1" applyProtection="1">
      <alignment horizontal="left" vertical="top" wrapText="1"/>
      <protection locked="0"/>
    </xf>
    <xf numFmtId="49" fontId="0" fillId="11" borderId="28" xfId="0" applyNumberFormat="1" applyFont="1" applyFill="1" applyBorder="1" applyAlignment="1">
      <alignment horizontal="center" vertical="top" wrapText="1"/>
    </xf>
    <xf numFmtId="0" fontId="8" fillId="11" borderId="28" xfId="0" applyNumberFormat="1" applyFont="1" applyFill="1" applyBorder="1" applyAlignment="1">
      <alignment horizontal="center" vertical="top" wrapText="1"/>
    </xf>
    <xf numFmtId="0" fontId="8" fillId="6" borderId="28" xfId="0" applyNumberFormat="1" applyFont="1" applyFill="1" applyBorder="1" applyAlignment="1" applyProtection="1">
      <alignment horizontal="left" vertical="top" wrapText="1"/>
      <protection locked="0"/>
    </xf>
    <xf numFmtId="49" fontId="40" fillId="0" borderId="0" xfId="0" applyNumberFormat="1" applyFont="1" applyAlignment="1">
      <alignment horizontal="center" vertical="center" wrapText="1"/>
    </xf>
    <xf numFmtId="0" fontId="93" fillId="0" borderId="40" xfId="0" applyNumberFormat="1" applyFont="1" applyBorder="1" applyAlignment="1">
      <alignment horizontal="left" vertical="center" indent="1"/>
    </xf>
    <xf numFmtId="0" fontId="93" fillId="0" borderId="41" xfId="0" applyNumberFormat="1" applyFont="1" applyBorder="1" applyAlignment="1">
      <alignment horizontal="left" vertical="center" indent="1"/>
    </xf>
    <xf numFmtId="0" fontId="0" fillId="0" borderId="41" xfId="0" applyNumberFormat="1" applyFont="1" applyBorder="1" applyAlignment="1">
      <alignment horizontal="left" vertical="center" wrapText="1"/>
    </xf>
    <xf numFmtId="0" fontId="8" fillId="0" borderId="41" xfId="0" applyNumberFormat="1" applyFont="1" applyBorder="1" applyAlignment="1">
      <alignment vertical="center" wrapText="1"/>
    </xf>
    <xf numFmtId="0" fontId="8" fillId="0" borderId="46" xfId="0" applyNumberFormat="1" applyFont="1" applyBorder="1" applyAlignment="1">
      <alignment vertical="center" wrapText="1"/>
    </xf>
    <xf numFmtId="0" fontId="8" fillId="0" borderId="47" xfId="0" applyNumberFormat="1" applyFont="1" applyBorder="1" applyAlignment="1">
      <alignment vertical="center" wrapText="1"/>
    </xf>
    <xf numFmtId="0" fontId="8" fillId="0" borderId="30" xfId="0" applyNumberFormat="1" applyFont="1" applyBorder="1" applyAlignment="1">
      <alignment vertical="center" wrapText="1"/>
    </xf>
    <xf numFmtId="49" fontId="95" fillId="13" borderId="35" xfId="0" applyNumberFormat="1" applyFont="1" applyFill="1" applyBorder="1" applyAlignment="1">
      <alignment horizontal="left" vertical="center" indent="1"/>
    </xf>
    <xf numFmtId="49" fontId="84" fillId="13" borderId="35" xfId="0" applyNumberFormat="1" applyFont="1" applyFill="1" applyBorder="1" applyAlignment="1">
      <alignment horizontal="center" vertical="center"/>
    </xf>
    <xf numFmtId="0" fontId="8" fillId="0" borderId="0" xfId="0" applyNumberFormat="1" applyFont="1" applyAlignment="1">
      <alignment vertical="center" wrapText="1"/>
    </xf>
    <xf numFmtId="49" fontId="95" fillId="13" borderId="7" xfId="0" applyNumberFormat="1" applyFont="1" applyFill="1" applyBorder="1" applyAlignment="1">
      <alignment horizontal="left" vertical="center" indent="1"/>
    </xf>
    <xf numFmtId="49" fontId="117" fillId="13" borderId="7" xfId="0" applyNumberFormat="1" applyFont="1" applyFill="1" applyBorder="1" applyAlignment="1">
      <alignment vertical="top" wrapText="1"/>
    </xf>
    <xf numFmtId="49" fontId="117" fillId="13" borderId="5" xfId="0" applyNumberFormat="1" applyFont="1" applyFill="1" applyBorder="1" applyAlignment="1">
      <alignment vertical="top" wrapText="1"/>
    </xf>
    <xf numFmtId="0" fontId="117" fillId="15" borderId="4" xfId="0" applyNumberFormat="1" applyFont="1" applyFill="1" applyBorder="1" applyAlignment="1">
      <alignment horizontal="left" vertical="center" wrapText="1" indent="1"/>
    </xf>
    <xf numFmtId="4" fontId="8" fillId="14" borderId="23" xfId="0" applyNumberFormat="1" applyFont="1" applyFill="1" applyBorder="1" applyAlignment="1" applyProtection="1">
      <alignment horizontal="right" vertical="center" wrapText="1"/>
      <protection locked="0"/>
    </xf>
    <xf numFmtId="49" fontId="33" fillId="13" borderId="7" xfId="0" applyNumberFormat="1" applyFont="1" applyFill="1" applyBorder="1" applyAlignment="1">
      <alignment horizontal="left" vertical="center" indent="1"/>
    </xf>
    <xf numFmtId="49" fontId="117" fillId="13" borderId="44" xfId="0" applyNumberFormat="1" applyFont="1" applyFill="1" applyBorder="1" applyAlignment="1">
      <alignment vertical="top" wrapText="1"/>
    </xf>
    <xf numFmtId="49" fontId="33" fillId="13" borderId="7" xfId="0" applyNumberFormat="1" applyFont="1" applyFill="1" applyBorder="1" applyAlignment="1">
      <alignment horizontal="left" vertical="center" indent="1"/>
    </xf>
    <xf numFmtId="49" fontId="95" fillId="13" borderId="44" xfId="0" applyNumberFormat="1" applyFont="1" applyFill="1" applyBorder="1" applyAlignment="1">
      <alignment horizontal="left" vertical="center" indent="1"/>
    </xf>
    <xf numFmtId="0" fontId="0" fillId="13" borderId="42" xfId="0" applyNumberFormat="1" applyFont="1" applyFill="1" applyBorder="1" applyAlignment="1">
      <alignment horizontal="left" vertical="center"/>
    </xf>
    <xf numFmtId="0" fontId="8" fillId="13" borderId="42" xfId="0" applyNumberFormat="1" applyFont="1" applyFill="1" applyBorder="1" applyAlignment="1">
      <alignment vertical="center" wrapText="1"/>
    </xf>
    <xf numFmtId="0" fontId="8" fillId="13" borderId="43" xfId="0" applyNumberFormat="1" applyFont="1" applyFill="1" applyBorder="1" applyAlignment="1">
      <alignment vertical="center" wrapText="1"/>
    </xf>
    <xf numFmtId="0" fontId="8" fillId="13" borderId="45" xfId="0" applyNumberFormat="1" applyFont="1" applyFill="1" applyBorder="1" applyAlignment="1">
      <alignment vertical="center" wrapText="1"/>
    </xf>
    <xf numFmtId="49" fontId="0" fillId="11" borderId="28" xfId="0" applyNumberFormat="1" applyFont="1" applyFill="1" applyBorder="1">
      <alignment vertical="top"/>
    </xf>
    <xf numFmtId="49" fontId="0" fillId="0" borderId="28" xfId="0" applyNumberFormat="1" applyFont="1" applyBorder="1">
      <alignment vertical="top"/>
    </xf>
    <xf numFmtId="49" fontId="113" fillId="15" borderId="9" xfId="0" applyNumberFormat="1" applyFont="1" applyFill="1" applyBorder="1" applyAlignment="1">
      <alignment vertical="center" wrapText="1"/>
    </xf>
    <xf numFmtId="49" fontId="0" fillId="14" borderId="28" xfId="0" applyNumberFormat="1" applyFont="1" applyFill="1" applyBorder="1" applyProtection="1">
      <alignment vertical="top"/>
      <protection locked="0"/>
    </xf>
    <xf numFmtId="49" fontId="0" fillId="14" borderId="9" xfId="0" applyNumberFormat="1" applyFont="1" applyFill="1" applyBorder="1" applyProtection="1">
      <alignment vertical="top"/>
      <protection locked="0"/>
    </xf>
    <xf numFmtId="14" fontId="8" fillId="15" borderId="28" xfId="0" applyNumberFormat="1" applyFont="1" applyFill="1" applyBorder="1" applyAlignment="1">
      <alignment horizontal="left" vertical="center" wrapText="1" indent="1"/>
    </xf>
    <xf numFmtId="49" fontId="113" fillId="15" borderId="28" xfId="0" applyNumberFormat="1" applyFont="1" applyFill="1" applyBorder="1" applyAlignment="1">
      <alignment vertical="center" wrapText="1"/>
    </xf>
    <xf numFmtId="4" fontId="8" fillId="14" borderId="25" xfId="0" applyNumberFormat="1" applyFont="1" applyFill="1" applyBorder="1" applyAlignment="1" applyProtection="1">
      <alignment horizontal="right" vertical="center" wrapText="1"/>
      <protection locked="0"/>
    </xf>
    <xf numFmtId="49" fontId="113" fillId="15" borderId="15" xfId="0" applyNumberFormat="1" applyFont="1" applyFill="1" applyBorder="1" applyAlignment="1">
      <alignment vertical="center" wrapText="1"/>
    </xf>
    <xf numFmtId="49" fontId="0" fillId="14" borderId="15" xfId="0" applyNumberFormat="1" applyFont="1" applyFill="1" applyBorder="1" applyProtection="1">
      <alignment vertical="top"/>
      <protection locked="0"/>
    </xf>
    <xf numFmtId="49" fontId="89" fillId="0" borderId="0" xfId="0" applyNumberFormat="1" applyFont="1" applyAlignment="1">
      <alignment vertical="center"/>
    </xf>
    <xf numFmtId="49" fontId="38" fillId="0" borderId="0" xfId="0" applyNumberFormat="1" applyFont="1" applyAlignment="1">
      <alignment vertical="center"/>
    </xf>
    <xf numFmtId="49" fontId="38" fillId="9" borderId="0" xfId="0" applyNumberFormat="1" applyFont="1" applyFill="1" applyAlignment="1">
      <alignment vertical="center"/>
    </xf>
    <xf numFmtId="0" fontId="93" fillId="0" borderId="39" xfId="0" applyNumberFormat="1" applyFont="1" applyBorder="1" applyAlignment="1">
      <alignment horizontal="left" vertical="center" indent="1"/>
    </xf>
    <xf numFmtId="49" fontId="8" fillId="0" borderId="48" xfId="0" applyNumberFormat="1" applyFont="1" applyBorder="1" applyAlignment="1">
      <alignment horizontal="center" vertical="center"/>
    </xf>
    <xf numFmtId="0" fontId="8" fillId="0" borderId="48" xfId="0" applyNumberFormat="1" applyFont="1" applyBorder="1" applyAlignment="1">
      <alignment horizontal="right" vertical="center"/>
    </xf>
    <xf numFmtId="0" fontId="8" fillId="0" borderId="48" xfId="0" applyNumberFormat="1" applyFont="1" applyBorder="1" applyAlignment="1">
      <alignment horizontal="center" vertical="center"/>
    </xf>
    <xf numFmtId="0" fontId="8" fillId="0" borderId="7" xfId="0" applyNumberFormat="1" applyFont="1" applyBorder="1" applyAlignment="1">
      <alignment horizontal="right" vertical="center"/>
    </xf>
    <xf numFmtId="0" fontId="113" fillId="15" borderId="4" xfId="0" applyNumberFormat="1" applyFont="1" applyFill="1" applyBorder="1" applyAlignment="1">
      <alignment horizontal="left" vertical="center" wrapText="1" indent="1"/>
    </xf>
    <xf numFmtId="0" fontId="113" fillId="14" borderId="4" xfId="0" applyNumberFormat="1" applyFont="1" applyFill="1" applyBorder="1" applyAlignment="1" applyProtection="1">
      <alignment horizontal="left" vertical="center" wrapText="1" indent="1"/>
      <protection locked="0"/>
    </xf>
    <xf numFmtId="0" fontId="8" fillId="6" borderId="4" xfId="0" applyNumberFormat="1" applyFont="1" applyFill="1" applyBorder="1" applyAlignment="1" applyProtection="1">
      <alignment horizontal="left" vertical="center" indent="1"/>
      <protection locked="0"/>
    </xf>
    <xf numFmtId="0" fontId="8" fillId="7" borderId="4" xfId="0" applyNumberFormat="1" applyFont="1" applyFill="1" applyBorder="1" applyAlignment="1">
      <alignment horizontal="right" vertical="center"/>
    </xf>
    <xf numFmtId="3" fontId="8" fillId="6" borderId="4" xfId="0" applyNumberFormat="1" applyFont="1" applyFill="1" applyBorder="1" applyAlignment="1" applyProtection="1">
      <alignment horizontal="right" vertical="center"/>
      <protection locked="0"/>
    </xf>
    <xf numFmtId="4" fontId="8" fillId="6" borderId="4" xfId="0" applyNumberFormat="1" applyFont="1" applyFill="1" applyBorder="1" applyAlignment="1" applyProtection="1">
      <alignment horizontal="right" vertical="center"/>
      <protection locked="0"/>
    </xf>
    <xf numFmtId="49" fontId="33" fillId="13" borderId="49" xfId="0" applyNumberFormat="1" applyFont="1" applyFill="1" applyBorder="1" applyAlignment="1">
      <alignment horizontal="left" vertical="center" indent="1"/>
    </xf>
    <xf numFmtId="49" fontId="33" fillId="13" borderId="43" xfId="0" applyNumberFormat="1" applyFont="1" applyFill="1" applyBorder="1" applyAlignment="1">
      <alignment horizontal="left" vertical="center" indent="1"/>
    </xf>
    <xf numFmtId="49" fontId="33" fillId="13" borderId="43" xfId="0" applyNumberFormat="1" applyFont="1" applyFill="1" applyBorder="1" applyAlignment="1">
      <alignment horizontal="left" vertical="center" indent="1"/>
    </xf>
    <xf numFmtId="0" fontId="0" fillId="0" borderId="0" xfId="0" applyNumberFormat="1" applyFont="1">
      <alignment vertical="top"/>
    </xf>
    <xf numFmtId="0" fontId="8" fillId="0" borderId="5" xfId="0" applyNumberFormat="1" applyFont="1" applyBorder="1" applyAlignment="1">
      <alignment horizontal="left" vertical="center" wrapText="1" indent="1"/>
    </xf>
    <xf numFmtId="49" fontId="40" fillId="0" borderId="14" xfId="0" applyNumberFormat="1" applyFont="1" applyBorder="1">
      <alignment vertical="top"/>
    </xf>
    <xf numFmtId="0" fontId="39" fillId="0" borderId="0" xfId="0" applyNumberFormat="1" applyFont="1">
      <alignment vertical="top"/>
    </xf>
    <xf numFmtId="0" fontId="64" fillId="0" borderId="0" xfId="0" applyNumberFormat="1" applyFont="1">
      <alignment vertical="top"/>
    </xf>
    <xf numFmtId="0" fontId="77" fillId="0" borderId="0" xfId="0" applyNumberFormat="1" applyFont="1">
      <alignment vertical="top"/>
    </xf>
    <xf numFmtId="4" fontId="8" fillId="11" borderId="4" xfId="0" applyNumberFormat="1" applyFont="1" applyFill="1" applyBorder="1" applyAlignment="1">
      <alignment horizontal="right" vertical="center" wrapText="1"/>
    </xf>
    <xf numFmtId="2" fontId="8" fillId="0" borderId="15" xfId="0" applyNumberFormat="1" applyFont="1" applyBorder="1" applyAlignment="1">
      <alignment horizontal="center" vertical="center" wrapText="1"/>
    </xf>
    <xf numFmtId="0" fontId="8" fillId="0" borderId="4" xfId="0" applyNumberFormat="1" applyFont="1" applyBorder="1" applyAlignment="1">
      <alignment horizontal="left" vertical="center" wrapText="1"/>
    </xf>
    <xf numFmtId="0" fontId="40" fillId="0" borderId="4" xfId="0" applyNumberFormat="1" applyFont="1" applyBorder="1" applyAlignment="1">
      <alignment horizontal="left" vertical="center" wrapText="1"/>
    </xf>
    <xf numFmtId="0" fontId="40" fillId="0" borderId="4" xfId="0" applyNumberFormat="1" applyFont="1" applyBorder="1" applyAlignment="1">
      <alignment vertical="center" wrapText="1"/>
    </xf>
    <xf numFmtId="0" fontId="40" fillId="0" borderId="14" xfId="0" applyNumberFormat="1" applyFont="1" applyBorder="1" applyAlignment="1">
      <alignment vertical="center" wrapText="1"/>
    </xf>
    <xf numFmtId="49" fontId="33" fillId="13" borderId="6" xfId="0" applyNumberFormat="1" applyFont="1" applyFill="1" applyBorder="1" applyAlignment="1">
      <alignment horizontal="left" vertical="center"/>
    </xf>
    <xf numFmtId="49" fontId="33" fillId="13" borderId="7" xfId="0" applyNumberFormat="1" applyFont="1" applyFill="1" applyBorder="1" applyAlignment="1">
      <alignment horizontal="left" vertical="center" indent="1"/>
    </xf>
    <xf numFmtId="49" fontId="33" fillId="13" borderId="7" xfId="0" applyNumberFormat="1" applyFont="1" applyFill="1" applyBorder="1" applyAlignment="1">
      <alignment horizontal="left" vertical="center"/>
    </xf>
    <xf numFmtId="0" fontId="33" fillId="0" borderId="4" xfId="0" applyNumberFormat="1" applyFont="1" applyBorder="1" applyAlignment="1">
      <alignment horizontal="left" vertical="center" indent="1"/>
    </xf>
    <xf numFmtId="0" fontId="40" fillId="0" borderId="15" xfId="0" applyNumberFormat="1" applyFont="1" applyBorder="1" applyAlignment="1">
      <alignment vertical="center" wrapText="1"/>
    </xf>
    <xf numFmtId="4" fontId="40" fillId="0" borderId="4" xfId="0" applyNumberFormat="1" applyFont="1" applyBorder="1" applyAlignment="1">
      <alignment horizontal="right" vertical="center" wrapText="1"/>
    </xf>
    <xf numFmtId="2" fontId="40" fillId="0" borderId="15" xfId="0" applyNumberFormat="1" applyFont="1" applyBorder="1" applyAlignment="1">
      <alignment horizontal="center" vertical="center" wrapText="1"/>
    </xf>
    <xf numFmtId="49" fontId="40" fillId="0" borderId="6" xfId="0" applyNumberFormat="1" applyFont="1" applyBorder="1" applyAlignment="1">
      <alignment horizontal="left" vertical="center"/>
    </xf>
    <xf numFmtId="49" fontId="40" fillId="0" borderId="7" xfId="0" applyNumberFormat="1" applyFont="1" applyBorder="1" applyAlignment="1">
      <alignment horizontal="left" vertical="center" indent="1"/>
    </xf>
    <xf numFmtId="49" fontId="40" fillId="0" borderId="7" xfId="0" applyNumberFormat="1" applyFont="1" applyBorder="1" applyAlignment="1">
      <alignment horizontal="left" vertical="center"/>
    </xf>
    <xf numFmtId="49" fontId="40" fillId="0" borderId="5" xfId="0" applyNumberFormat="1" applyFont="1" applyBorder="1" applyAlignment="1">
      <alignment horizontal="left" vertical="center" indent="1"/>
    </xf>
    <xf numFmtId="0" fontId="40" fillId="0" borderId="4" xfId="0" applyNumberFormat="1" applyFont="1" applyBorder="1" applyAlignment="1">
      <alignment horizontal="left" vertical="center" indent="1"/>
    </xf>
    <xf numFmtId="49" fontId="0" fillId="0" borderId="11" xfId="0" applyNumberFormat="1" applyFont="1" applyBorder="1">
      <alignment vertical="top"/>
    </xf>
    <xf numFmtId="0" fontId="8" fillId="0" borderId="4" xfId="0" applyNumberFormat="1" applyFont="1" applyBorder="1" applyAlignment="1">
      <alignment vertical="center" wrapText="1"/>
    </xf>
    <xf numFmtId="49" fontId="0" fillId="0" borderId="5" xfId="0" applyNumberFormat="1" applyFont="1" applyBorder="1" applyAlignment="1">
      <alignment horizontal="center" vertical="center" wrapText="1"/>
    </xf>
    <xf numFmtId="0" fontId="0" fillId="0" borderId="4" xfId="0" applyNumberFormat="1" applyFont="1" applyBorder="1" applyAlignment="1">
      <alignment horizontal="left" vertical="center" wrapText="1"/>
    </xf>
    <xf numFmtId="49" fontId="0" fillId="0" borderId="4" xfId="0" applyNumberFormat="1" applyFont="1" applyBorder="1" applyAlignment="1">
      <alignment horizontal="center" vertical="center"/>
    </xf>
    <xf numFmtId="4" fontId="0" fillId="11" borderId="4" xfId="0" applyNumberFormat="1" applyFont="1" applyFill="1" applyBorder="1" applyAlignment="1">
      <alignment horizontal="right" vertical="center" wrapText="1"/>
    </xf>
    <xf numFmtId="0" fontId="0" fillId="0" borderId="4" xfId="0" applyNumberFormat="1" applyFont="1" applyBorder="1" applyAlignment="1">
      <alignment vertical="center" wrapText="1"/>
    </xf>
    <xf numFmtId="49" fontId="0" fillId="0" borderId="22" xfId="0" applyNumberFormat="1" applyFont="1" applyBorder="1" applyAlignment="1">
      <alignment horizontal="center" vertical="center" wrapText="1"/>
    </xf>
    <xf numFmtId="49" fontId="0" fillId="14" borderId="4" xfId="0" applyNumberFormat="1" applyFont="1" applyFill="1" applyBorder="1" applyAlignment="1" applyProtection="1">
      <alignment horizontal="left" vertical="center" wrapText="1"/>
      <protection locked="0"/>
    </xf>
    <xf numFmtId="4" fontId="0" fillId="14" borderId="4" xfId="0" applyNumberFormat="1" applyFont="1" applyFill="1" applyBorder="1" applyAlignment="1" applyProtection="1">
      <alignment horizontal="right" vertical="center" wrapText="1"/>
      <protection locked="0"/>
    </xf>
    <xf numFmtId="4" fontId="39" fillId="0" borderId="4" xfId="0" applyNumberFormat="1" applyFont="1" applyBorder="1" applyAlignment="1">
      <alignment horizontal="right" vertical="center" wrapText="1"/>
    </xf>
    <xf numFmtId="49" fontId="0" fillId="13" borderId="19" xfId="0" applyNumberFormat="1" applyFont="1" applyFill="1" applyBorder="1" applyAlignment="1">
      <alignment horizontal="center" vertical="center"/>
    </xf>
    <xf numFmtId="49" fontId="0" fillId="13" borderId="7" xfId="0" applyNumberFormat="1" applyFont="1" applyFill="1" applyBorder="1" applyAlignment="1">
      <alignment horizontal="center" vertical="center"/>
    </xf>
    <xf numFmtId="49" fontId="33" fillId="13" borderId="7" xfId="0" applyNumberFormat="1" applyFont="1" applyFill="1" applyBorder="1" applyAlignment="1">
      <alignment horizontal="left" vertical="center"/>
    </xf>
    <xf numFmtId="49" fontId="33" fillId="13" borderId="5" xfId="0" applyNumberFormat="1" applyFont="1" applyFill="1" applyBorder="1" applyAlignment="1">
      <alignment horizontal="left" vertical="center" indent="1"/>
    </xf>
    <xf numFmtId="49" fontId="0" fillId="0" borderId="14" xfId="0" applyNumberFormat="1" applyFont="1" applyBorder="1">
      <alignment vertical="top"/>
    </xf>
    <xf numFmtId="49" fontId="0" fillId="0" borderId="16"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8" fillId="0" borderId="0" xfId="0" applyNumberFormat="1" applyFont="1" applyAlignment="1">
      <alignment horizontal="left" vertical="center" indent="1"/>
    </xf>
    <xf numFmtId="0" fontId="0" fillId="0" borderId="0" xfId="0" applyNumberFormat="1" applyFont="1" applyAlignment="1">
      <alignment horizontal="left" vertical="center" indent="1"/>
    </xf>
    <xf numFmtId="0" fontId="33" fillId="13" borderId="6" xfId="0" applyNumberFormat="1" applyFont="1" applyFill="1" applyBorder="1" applyAlignment="1">
      <alignment horizontal="left" vertical="center"/>
    </xf>
    <xf numFmtId="0" fontId="33" fillId="13" borderId="7" xfId="0" applyNumberFormat="1" applyFont="1" applyFill="1" applyBorder="1" applyAlignment="1">
      <alignment horizontal="left" vertical="center"/>
    </xf>
    <xf numFmtId="0" fontId="33" fillId="13" borderId="5" xfId="0" applyNumberFormat="1" applyFont="1" applyFill="1" applyBorder="1" applyAlignment="1">
      <alignment horizontal="left" vertical="center"/>
    </xf>
    <xf numFmtId="0" fontId="8" fillId="0" borderId="0" xfId="0" applyNumberFormat="1" applyFont="1" applyAlignment="1">
      <alignment vertical="center"/>
    </xf>
    <xf numFmtId="0" fontId="0" fillId="13" borderId="7" xfId="0" applyNumberFormat="1" applyFont="1" applyFill="1" applyBorder="1" applyAlignment="1">
      <alignment vertical="center"/>
    </xf>
    <xf numFmtId="49" fontId="0" fillId="0" borderId="28" xfId="0" applyNumberFormat="1" applyFont="1" applyBorder="1" applyAlignment="1">
      <alignment horizontal="left" vertical="top"/>
    </xf>
    <xf numFmtId="49" fontId="0" fillId="15" borderId="28" xfId="0" applyNumberFormat="1" applyFont="1" applyFill="1" applyBorder="1" applyAlignment="1">
      <alignment horizontal="left" vertical="top"/>
    </xf>
    <xf numFmtId="49" fontId="0" fillId="6" borderId="28" xfId="0" applyNumberFormat="1" applyFont="1" applyFill="1" applyBorder="1" applyAlignment="1" applyProtection="1">
      <alignment horizontal="left" vertical="top"/>
      <protection locked="0"/>
    </xf>
    <xf numFmtId="49" fontId="8" fillId="15" borderId="0" xfId="0" applyNumberFormat="1" applyFont="1" applyFill="1" applyAlignment="1">
      <alignment horizontal="center" vertical="center" wrapText="1"/>
    </xf>
    <xf numFmtId="0" fontId="33" fillId="0" borderId="28" xfId="0" applyNumberFormat="1" applyFont="1" applyBorder="1" applyAlignment="1">
      <alignment horizontal="left" vertical="center"/>
    </xf>
    <xf numFmtId="49" fontId="0" fillId="15" borderId="28" xfId="0" applyNumberFormat="1" applyFont="1" applyFill="1" applyBorder="1" applyAlignment="1" applyProtection="1">
      <alignment horizontal="left" vertical="center" wrapText="1"/>
      <protection locked="0"/>
    </xf>
    <xf numFmtId="0" fontId="33" fillId="6" borderId="28" xfId="0" applyNumberFormat="1" applyFont="1" applyFill="1" applyBorder="1" applyAlignment="1" applyProtection="1">
      <alignment horizontal="left" vertical="center"/>
      <protection locked="0"/>
    </xf>
    <xf numFmtId="0" fontId="33" fillId="14" borderId="28" xfId="0" applyNumberFormat="1" applyFont="1" applyFill="1" applyBorder="1" applyAlignment="1" applyProtection="1">
      <alignment horizontal="left" vertical="center"/>
      <protection locked="0"/>
    </xf>
    <xf numFmtId="49" fontId="40" fillId="0" borderId="6" xfId="0" applyNumberFormat="1" applyFont="1" applyBorder="1" applyAlignment="1">
      <alignment horizontal="left" vertical="center" wrapText="1"/>
    </xf>
    <xf numFmtId="0" fontId="40" fillId="0" borderId="6" xfId="0" applyNumberFormat="1" applyFont="1" applyBorder="1" applyAlignment="1">
      <alignment horizontal="left" vertical="center"/>
    </xf>
    <xf numFmtId="0" fontId="40" fillId="0" borderId="7" xfId="0" applyNumberFormat="1" applyFont="1" applyBorder="1" applyAlignment="1">
      <alignment horizontal="left" vertical="center"/>
    </xf>
    <xf numFmtId="0" fontId="33" fillId="13" borderId="22" xfId="0" applyNumberFormat="1" applyFont="1" applyFill="1" applyBorder="1" applyAlignment="1">
      <alignment horizontal="left" vertical="center"/>
    </xf>
    <xf numFmtId="49" fontId="0" fillId="6" borderId="28" xfId="0" applyNumberFormat="1" applyFont="1" applyFill="1" applyBorder="1" applyProtection="1">
      <alignment vertical="top"/>
      <protection locked="0"/>
    </xf>
    <xf numFmtId="0" fontId="0" fillId="0" borderId="0" xfId="0" applyNumberFormat="1" applyFont="1" applyAlignment="1">
      <alignment vertical="center"/>
    </xf>
    <xf numFmtId="49" fontId="8" fillId="0" borderId="12" xfId="0" applyNumberFormat="1" applyFont="1" applyBorder="1" applyAlignment="1">
      <alignment horizontal="left" vertical="center" wrapText="1"/>
    </xf>
    <xf numFmtId="49" fontId="8" fillId="0" borderId="0" xfId="0" applyNumberFormat="1" applyFont="1" applyAlignment="1">
      <alignment horizontal="center" vertical="center" wrapText="1"/>
    </xf>
    <xf numFmtId="0" fontId="33" fillId="0" borderId="0" xfId="0" applyNumberFormat="1" applyFont="1" applyAlignment="1">
      <alignment horizontal="left" vertical="center"/>
    </xf>
    <xf numFmtId="0" fontId="33" fillId="0" borderId="16" xfId="0" applyNumberFormat="1" applyFont="1" applyBorder="1" applyAlignment="1">
      <alignment horizontal="left" vertical="center"/>
    </xf>
    <xf numFmtId="0" fontId="33" fillId="0" borderId="19" xfId="0" applyNumberFormat="1" applyFont="1" applyBorder="1" applyAlignment="1">
      <alignment horizontal="left" vertical="center"/>
    </xf>
    <xf numFmtId="0" fontId="33" fillId="0" borderId="20" xfId="0" applyNumberFormat="1" applyFont="1" applyBorder="1" applyAlignment="1">
      <alignment horizontal="left" vertical="center"/>
    </xf>
    <xf numFmtId="0" fontId="0" fillId="0" borderId="20" xfId="0" applyNumberFormat="1" applyFont="1" applyBorder="1" applyAlignment="1">
      <alignment vertical="center"/>
    </xf>
    <xf numFmtId="0" fontId="33" fillId="0" borderId="22" xfId="0" applyNumberFormat="1" applyFont="1" applyBorder="1" applyAlignment="1">
      <alignment horizontal="left" vertical="center"/>
    </xf>
    <xf numFmtId="49" fontId="8" fillId="0" borderId="9" xfId="0" applyNumberFormat="1" applyFont="1" applyBorder="1" applyAlignment="1">
      <alignment horizontal="left" vertical="center" wrapText="1"/>
    </xf>
    <xf numFmtId="49" fontId="8" fillId="15" borderId="9" xfId="0" applyNumberFormat="1" applyFont="1" applyFill="1" applyBorder="1" applyAlignment="1">
      <alignment vertical="center" wrapText="1"/>
    </xf>
    <xf numFmtId="49" fontId="8" fillId="0" borderId="28" xfId="0" applyNumberFormat="1" applyFont="1" applyBorder="1" applyAlignment="1">
      <alignment horizontal="left" vertical="center" wrapText="1"/>
    </xf>
    <xf numFmtId="0" fontId="33" fillId="0" borderId="15" xfId="0" applyNumberFormat="1" applyFont="1" applyBorder="1" applyAlignment="1">
      <alignment horizontal="left" vertical="center"/>
    </xf>
    <xf numFmtId="0" fontId="33" fillId="13" borderId="6" xfId="0" applyNumberFormat="1" applyFont="1" applyFill="1" applyBorder="1" applyAlignment="1">
      <alignment horizontal="left" vertical="center"/>
    </xf>
    <xf numFmtId="0" fontId="33" fillId="13" borderId="29" xfId="0" applyNumberFormat="1" applyFont="1" applyFill="1" applyBorder="1" applyAlignment="1">
      <alignment vertical="center"/>
    </xf>
    <xf numFmtId="0" fontId="33" fillId="13" borderId="29" xfId="0" applyNumberFormat="1" applyFont="1" applyFill="1" applyBorder="1" applyAlignment="1">
      <alignment horizontal="left" vertical="center"/>
    </xf>
    <xf numFmtId="49" fontId="57" fillId="13" borderId="6" xfId="0" applyNumberFormat="1" applyFont="1" applyFill="1" applyBorder="1">
      <alignment vertical="top"/>
    </xf>
    <xf numFmtId="49" fontId="57" fillId="13" borderId="7" xfId="0" applyNumberFormat="1" applyFont="1" applyFill="1" applyBorder="1">
      <alignment vertical="top"/>
    </xf>
    <xf numFmtId="49" fontId="8" fillId="0" borderId="11" xfId="0" applyNumberFormat="1" applyFont="1" applyBorder="1" applyAlignment="1">
      <alignment vertical="center" wrapText="1"/>
    </xf>
    <xf numFmtId="0" fontId="33" fillId="0" borderId="0" xfId="0" applyNumberFormat="1" applyFont="1" applyAlignment="1">
      <alignment vertical="center"/>
    </xf>
    <xf numFmtId="0" fontId="33" fillId="0" borderId="14" xfId="0" applyNumberFormat="1" applyFont="1" applyBorder="1" applyAlignment="1">
      <alignment horizontal="left" vertical="center"/>
    </xf>
    <xf numFmtId="49" fontId="57" fillId="0" borderId="19" xfId="0" applyNumberFormat="1" applyFont="1" applyBorder="1">
      <alignment vertical="top"/>
    </xf>
    <xf numFmtId="49" fontId="57" fillId="0" borderId="20" xfId="0" applyNumberFormat="1" applyFont="1" applyBorder="1">
      <alignment vertical="top"/>
    </xf>
    <xf numFmtId="49" fontId="0" fillId="0" borderId="6" xfId="0" applyNumberFormat="1" applyFont="1" applyBorder="1">
      <alignment vertical="top"/>
    </xf>
    <xf numFmtId="49" fontId="0" fillId="17" borderId="9" xfId="0" applyNumberFormat="1" applyFont="1" applyFill="1" applyBorder="1">
      <alignment vertical="top"/>
    </xf>
    <xf numFmtId="49" fontId="0" fillId="18" borderId="4" xfId="0" applyNumberFormat="1" applyFont="1" applyFill="1" applyBorder="1">
      <alignment vertical="top"/>
    </xf>
    <xf numFmtId="49" fontId="0" fillId="0" borderId="7" xfId="0" applyNumberFormat="1" applyFont="1" applyBorder="1" applyAlignment="1">
      <alignment horizontal="center" vertical="top"/>
    </xf>
    <xf numFmtId="49" fontId="0" fillId="2" borderId="4" xfId="0" applyNumberFormat="1" applyFont="1" applyFill="1" applyBorder="1">
      <alignment vertical="top"/>
    </xf>
    <xf numFmtId="49" fontId="0" fillId="19" borderId="4" xfId="0" applyNumberFormat="1" applyFont="1" applyFill="1" applyBorder="1">
      <alignment vertical="top"/>
    </xf>
    <xf numFmtId="49" fontId="0" fillId="4" borderId="9" xfId="0" applyNumberFormat="1" applyFont="1" applyFill="1" applyBorder="1">
      <alignment vertical="top"/>
    </xf>
    <xf numFmtId="49" fontId="0" fillId="3" borderId="6" xfId="0" applyNumberFormat="1" applyFont="1" applyFill="1" applyBorder="1">
      <alignment vertical="top"/>
    </xf>
    <xf numFmtId="49" fontId="0" fillId="3" borderId="4" xfId="0" applyNumberFormat="1" applyFont="1" applyFill="1" applyBorder="1">
      <alignment vertical="top"/>
    </xf>
    <xf numFmtId="49" fontId="0" fillId="4" borderId="4" xfId="0" applyNumberFormat="1" applyFont="1" applyFill="1" applyBorder="1">
      <alignment vertical="top"/>
    </xf>
    <xf numFmtId="49" fontId="119" fillId="14" borderId="4" xfId="0" applyNumberFormat="1" applyFont="1" applyFill="1" applyBorder="1" applyAlignment="1" applyProtection="1">
      <alignment horizontal="left" vertical="center" wrapText="1" indent="1"/>
      <protection locked="0"/>
    </xf>
    <xf numFmtId="49" fontId="0" fillId="0" borderId="4" xfId="0" applyNumberFormat="1" applyFont="1" applyBorder="1" applyAlignment="1">
      <alignment horizontal="left" vertical="center" wrapText="1"/>
    </xf>
    <xf numFmtId="49" fontId="119" fillId="6" borderId="4" xfId="0" applyNumberFormat="1" applyFont="1" applyFill="1" applyBorder="1" applyAlignment="1" applyProtection="1">
      <alignment horizontal="left" vertical="center" wrapText="1"/>
      <protection locked="0"/>
    </xf>
    <xf numFmtId="0" fontId="7" fillId="20" borderId="30" xfId="0" applyNumberFormat="1" applyFont="1" applyFill="1" applyBorder="1" applyAlignment="1">
      <alignment horizontal="right" vertical="center" wrapText="1" indent="1"/>
    </xf>
    <xf numFmtId="0" fontId="7" fillId="20" borderId="0" xfId="0" applyNumberFormat="1" applyFont="1" applyFill="1" applyAlignment="1">
      <alignment horizontal="right" vertical="center" wrapText="1" indent="1"/>
    </xf>
    <xf numFmtId="0" fontId="111" fillId="0" borderId="0" xfId="0" applyNumberFormat="1" applyFont="1" applyAlignment="1">
      <alignment vertical="center" wrapText="1"/>
    </xf>
    <xf numFmtId="0" fontId="7" fillId="20" borderId="60" xfId="0" applyNumberFormat="1" applyFont="1" applyFill="1" applyBorder="1" applyAlignment="1">
      <alignment horizontal="right" vertical="center" wrapText="1" indent="1"/>
    </xf>
    <xf numFmtId="0" fontId="7" fillId="20" borderId="56" xfId="0" applyNumberFormat="1" applyFont="1" applyFill="1" applyBorder="1" applyAlignment="1">
      <alignment horizontal="right" vertical="center" wrapText="1" indent="1"/>
    </xf>
    <xf numFmtId="0" fontId="7" fillId="20" borderId="31" xfId="0" applyNumberFormat="1" applyFont="1" applyFill="1" applyBorder="1" applyAlignment="1">
      <alignment horizontal="right" vertical="center" wrapText="1" indent="1"/>
    </xf>
    <xf numFmtId="0" fontId="111" fillId="0" borderId="0" xfId="0" applyNumberFormat="1" applyFont="1" applyAlignment="1">
      <alignment vertical="top" wrapText="1"/>
    </xf>
    <xf numFmtId="49" fontId="56" fillId="0" borderId="0" xfId="0" applyNumberFormat="1" applyFont="1" applyAlignment="1">
      <alignment vertical="top" wrapText="1"/>
    </xf>
    <xf numFmtId="0" fontId="92" fillId="0" borderId="0" xfId="0" applyNumberFormat="1" applyFont="1" applyAlignment="1">
      <alignment vertical="center" wrapText="1"/>
    </xf>
    <xf numFmtId="0" fontId="92" fillId="0" borderId="0" xfId="0" applyNumberFormat="1" applyFont="1" applyAlignment="1">
      <alignment vertical="center"/>
    </xf>
    <xf numFmtId="0" fontId="7" fillId="8" borderId="57" xfId="0" applyNumberFormat="1" applyFont="1" applyFill="1" applyBorder="1" applyAlignment="1">
      <alignment horizontal="center" vertical="center" wrapText="1"/>
    </xf>
    <xf numFmtId="0" fontId="7" fillId="8" borderId="58" xfId="0" applyNumberFormat="1" applyFont="1" applyFill="1" applyBorder="1" applyAlignment="1">
      <alignment horizontal="center" vertical="center" wrapText="1"/>
    </xf>
    <xf numFmtId="0" fontId="7" fillId="8" borderId="59" xfId="0" applyNumberFormat="1" applyFont="1" applyFill="1" applyBorder="1" applyAlignment="1">
      <alignment horizontal="center" vertical="center" wrapText="1"/>
    </xf>
    <xf numFmtId="0" fontId="111" fillId="0" borderId="30" xfId="0" applyNumberFormat="1" applyFont="1" applyBorder="1" applyAlignment="1">
      <alignment vertical="center" wrapText="1"/>
    </xf>
    <xf numFmtId="0" fontId="111" fillId="0" borderId="30" xfId="0" applyNumberFormat="1" applyFont="1" applyBorder="1" applyAlignment="1">
      <alignment horizontal="left" vertical="center" wrapText="1"/>
    </xf>
    <xf numFmtId="0" fontId="111" fillId="0" borderId="0" xfId="0" applyNumberFormat="1" applyFont="1" applyAlignment="1">
      <alignment horizontal="left" vertical="center" wrapText="1"/>
    </xf>
    <xf numFmtId="0" fontId="8" fillId="0" borderId="5" xfId="0" applyNumberFormat="1" applyFont="1" applyBorder="1" applyAlignment="1">
      <alignment horizontal="center" vertical="center" wrapText="1"/>
    </xf>
    <xf numFmtId="0" fontId="8" fillId="0" borderId="6" xfId="0" applyNumberFormat="1" applyFont="1" applyBorder="1" applyAlignment="1">
      <alignment horizontal="center" vertical="center" wrapText="1"/>
    </xf>
    <xf numFmtId="0" fontId="86" fillId="0" borderId="0" xfId="33" applyFont="1" applyAlignment="1">
      <alignment horizontal="left" vertical="center" wrapText="1"/>
    </xf>
    <xf numFmtId="14" fontId="83" fillId="0" borderId="4" xfId="33" applyNumberFormat="1" applyFont="1" applyBorder="1" applyAlignment="1">
      <alignment horizontal="center" vertical="center" wrapText="1"/>
    </xf>
    <xf numFmtId="0" fontId="8" fillId="0" borderId="0" xfId="0" applyNumberFormat="1" applyFont="1" applyAlignment="1">
      <alignment horizontal="center" vertical="center" wrapText="1"/>
    </xf>
    <xf numFmtId="0" fontId="8" fillId="0" borderId="7" xfId="0" applyNumberFormat="1" applyFont="1" applyBorder="1" applyAlignment="1">
      <alignment horizontal="left" vertical="center" wrapText="1" indent="1"/>
    </xf>
    <xf numFmtId="0" fontId="8" fillId="0" borderId="7" xfId="0" applyNumberFormat="1" applyFont="1" applyBorder="1" applyAlignment="1">
      <alignment horizontal="center" vertical="center" wrapText="1"/>
    </xf>
    <xf numFmtId="4" fontId="8" fillId="0" borderId="4" xfId="0" applyNumberFormat="1" applyFont="1" applyBorder="1" applyAlignment="1">
      <alignment horizontal="center" vertical="center" wrapText="1"/>
    </xf>
    <xf numFmtId="49" fontId="29" fillId="0" borderId="63" xfId="0" applyNumberFormat="1" applyFont="1" applyBorder="1" applyAlignment="1">
      <alignment horizontal="center" vertical="center" wrapText="1"/>
    </xf>
    <xf numFmtId="49" fontId="29" fillId="0" borderId="64" xfId="0" applyNumberFormat="1" applyFont="1" applyBorder="1" applyAlignment="1">
      <alignment horizontal="center" vertical="center" wrapText="1"/>
    </xf>
    <xf numFmtId="49" fontId="29" fillId="0" borderId="6" xfId="0" applyNumberFormat="1" applyFont="1" applyBorder="1" applyAlignment="1">
      <alignment horizontal="center" vertical="center" wrapText="1"/>
    </xf>
    <xf numFmtId="49" fontId="29" fillId="0" borderId="5" xfId="0" applyNumberFormat="1" applyFont="1" applyBorder="1" applyAlignment="1">
      <alignment horizontal="center" vertical="center" wrapText="1"/>
    </xf>
    <xf numFmtId="0" fontId="8" fillId="0" borderId="12" xfId="0" applyNumberFormat="1" applyFont="1" applyBorder="1" applyAlignment="1">
      <alignment horizontal="left" vertical="center" wrapText="1" indent="1"/>
    </xf>
    <xf numFmtId="0" fontId="8" fillId="0" borderId="9" xfId="0" applyNumberFormat="1" applyFont="1" applyBorder="1" applyAlignment="1">
      <alignment horizontal="left" vertical="center" wrapText="1" indent="1"/>
    </xf>
    <xf numFmtId="0" fontId="8" fillId="0" borderId="29" xfId="0" applyNumberFormat="1" applyFont="1" applyBorder="1" applyAlignment="1">
      <alignment horizontal="left" vertical="center" wrapText="1" indent="1"/>
    </xf>
    <xf numFmtId="0" fontId="8" fillId="0" borderId="22" xfId="0" applyNumberFormat="1" applyFont="1" applyBorder="1" applyAlignment="1">
      <alignment horizontal="left" vertical="center" indent="1"/>
    </xf>
    <xf numFmtId="0" fontId="8" fillId="0" borderId="15" xfId="0" applyNumberFormat="1" applyFont="1" applyBorder="1" applyAlignment="1">
      <alignment horizontal="left" vertical="center" indent="1"/>
    </xf>
    <xf numFmtId="0" fontId="8" fillId="0" borderId="19" xfId="0" applyNumberFormat="1" applyFont="1" applyBorder="1" applyAlignment="1">
      <alignment horizontal="left" vertical="center" indent="1"/>
    </xf>
    <xf numFmtId="0" fontId="8" fillId="16" borderId="0" xfId="0" applyNumberFormat="1" applyFont="1" applyFill="1" applyAlignment="1">
      <alignment horizontal="center" vertical="center" wrapText="1"/>
    </xf>
    <xf numFmtId="0" fontId="8" fillId="0" borderId="4" xfId="0" applyNumberFormat="1" applyFont="1" applyBorder="1" applyAlignment="1">
      <alignment horizontal="center" vertical="center" wrapText="1"/>
    </xf>
    <xf numFmtId="0" fontId="65" fillId="0" borderId="29" xfId="0" applyNumberFormat="1" applyFont="1" applyBorder="1" applyAlignment="1">
      <alignment horizontal="center" vertical="center" wrapText="1"/>
    </xf>
    <xf numFmtId="0" fontId="65" fillId="0" borderId="11"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65" fillId="0" borderId="4" xfId="0" applyNumberFormat="1" applyFont="1" applyBorder="1" applyAlignment="1">
      <alignment horizontal="center" vertical="center" wrapText="1"/>
    </xf>
    <xf numFmtId="0" fontId="8" fillId="0" borderId="65" xfId="0" applyNumberFormat="1" applyFont="1" applyBorder="1" applyAlignment="1">
      <alignment horizontal="center" vertical="center" wrapText="1"/>
    </xf>
    <xf numFmtId="0" fontId="8" fillId="0" borderId="66" xfId="0" applyNumberFormat="1" applyFont="1" applyBorder="1" applyAlignment="1">
      <alignment horizontal="center" vertical="center" wrapText="1"/>
    </xf>
    <xf numFmtId="0" fontId="8" fillId="15" borderId="9" xfId="0" applyNumberFormat="1" applyFont="1" applyFill="1" applyBorder="1" applyAlignment="1" applyProtection="1">
      <alignment horizontal="left" vertical="center" wrapText="1" indent="1"/>
      <protection locked="0"/>
    </xf>
    <xf numFmtId="0" fontId="8" fillId="15" borderId="15" xfId="0" applyNumberFormat="1" applyFont="1" applyFill="1" applyBorder="1" applyAlignment="1" applyProtection="1">
      <alignment horizontal="left" vertical="center" wrapText="1" indent="1"/>
      <protection locked="0"/>
    </xf>
    <xf numFmtId="49" fontId="8" fillId="15" borderId="4" xfId="0" applyNumberFormat="1" applyFont="1" applyFill="1" applyBorder="1" applyAlignment="1">
      <alignment horizontal="center" vertical="center" wrapText="1"/>
    </xf>
    <xf numFmtId="49" fontId="8" fillId="0" borderId="4" xfId="0" applyNumberFormat="1" applyFont="1" applyBorder="1" applyAlignment="1">
      <alignment horizontal="center" vertical="center" wrapText="1"/>
    </xf>
    <xf numFmtId="0" fontId="8" fillId="15" borderId="9" xfId="0" applyNumberFormat="1" applyFont="1" applyFill="1" applyBorder="1" applyAlignment="1">
      <alignment horizontal="left" vertical="center" wrapText="1" indent="2"/>
    </xf>
    <xf numFmtId="0" fontId="8" fillId="15" borderId="28" xfId="0" applyNumberFormat="1" applyFont="1" applyFill="1" applyBorder="1" applyAlignment="1">
      <alignment horizontal="left" vertical="center" wrapText="1" indent="2"/>
    </xf>
    <xf numFmtId="0" fontId="8" fillId="15" borderId="15" xfId="0" applyNumberFormat="1" applyFont="1" applyFill="1" applyBorder="1" applyAlignment="1">
      <alignment horizontal="left" vertical="center" wrapText="1" indent="2"/>
    </xf>
    <xf numFmtId="49" fontId="8" fillId="15" borderId="15" xfId="0" applyNumberFormat="1" applyFont="1" applyFill="1" applyBorder="1" applyAlignment="1">
      <alignment horizontal="center" vertical="center" wrapText="1"/>
    </xf>
    <xf numFmtId="14" fontId="71" fillId="0" borderId="62" xfId="0" applyNumberFormat="1" applyFont="1" applyBorder="1" applyAlignment="1">
      <alignment horizontal="center" vertical="center" wrapText="1"/>
    </xf>
    <xf numFmtId="0" fontId="8" fillId="0" borderId="62" xfId="0" applyNumberFormat="1" applyFont="1" applyBorder="1" applyAlignment="1">
      <alignment horizontal="center" vertical="center" wrapText="1"/>
    </xf>
    <xf numFmtId="49" fontId="8" fillId="0" borderId="11" xfId="0" applyNumberFormat="1" applyFont="1" applyBorder="1" applyAlignment="1">
      <alignment horizontal="center" vertical="center" wrapText="1"/>
    </xf>
    <xf numFmtId="49" fontId="8" fillId="0" borderId="0" xfId="0" applyNumberFormat="1" applyFont="1" applyAlignment="1">
      <alignment horizontal="center" vertical="center" wrapText="1"/>
    </xf>
    <xf numFmtId="0" fontId="0" fillId="0" borderId="4" xfId="0" applyNumberFormat="1" applyFont="1" applyBorder="1" applyAlignment="1">
      <alignment horizontal="center" vertical="top"/>
    </xf>
    <xf numFmtId="49" fontId="0" fillId="0" borderId="4" xfId="0" applyNumberFormat="1" applyFont="1" applyBorder="1">
      <alignment vertical="top"/>
    </xf>
    <xf numFmtId="0" fontId="8" fillId="0" borderId="4" xfId="0" applyNumberFormat="1" applyFont="1" applyBorder="1" applyAlignment="1">
      <alignment horizontal="left" vertical="top" wrapText="1"/>
    </xf>
    <xf numFmtId="49" fontId="0" fillId="0" borderId="4" xfId="0" applyNumberFormat="1" applyFont="1" applyBorder="1" applyAlignment="1">
      <alignment horizontal="left" vertical="top"/>
    </xf>
    <xf numFmtId="0" fontId="8" fillId="15" borderId="9" xfId="0" applyNumberFormat="1" applyFont="1" applyFill="1" applyBorder="1" applyAlignment="1">
      <alignment horizontal="center" vertical="top" wrapText="1"/>
    </xf>
    <xf numFmtId="0" fontId="8" fillId="15" borderId="28" xfId="0" applyNumberFormat="1" applyFont="1" applyFill="1" applyBorder="1" applyAlignment="1">
      <alignment horizontal="center" vertical="top" wrapText="1"/>
    </xf>
    <xf numFmtId="0" fontId="8" fillId="15" borderId="15" xfId="0" applyNumberFormat="1" applyFont="1" applyFill="1" applyBorder="1" applyAlignment="1">
      <alignment horizontal="center" vertical="top" wrapText="1"/>
    </xf>
    <xf numFmtId="0" fontId="8" fillId="15" borderId="4" xfId="0" applyNumberFormat="1" applyFont="1" applyFill="1" applyBorder="1" applyAlignment="1">
      <alignment horizontal="left" vertical="top" wrapText="1"/>
    </xf>
    <xf numFmtId="49" fontId="0" fillId="15" borderId="4" xfId="0" applyNumberFormat="1" applyFont="1" applyFill="1" applyBorder="1" applyAlignment="1">
      <alignment horizontal="left" vertical="top"/>
    </xf>
    <xf numFmtId="0" fontId="0" fillId="0" borderId="29" xfId="0" applyNumberFormat="1" applyFont="1" applyBorder="1" applyAlignment="1">
      <alignment horizontal="center" vertical="center"/>
    </xf>
    <xf numFmtId="0" fontId="0" fillId="0" borderId="14" xfId="0" applyNumberFormat="1" applyFont="1" applyBorder="1" applyAlignment="1">
      <alignment horizontal="center" vertical="center"/>
    </xf>
    <xf numFmtId="0" fontId="0" fillId="0" borderId="11" xfId="0" applyNumberFormat="1" applyFont="1" applyBorder="1" applyAlignment="1">
      <alignment horizontal="center" vertical="center"/>
    </xf>
    <xf numFmtId="0" fontId="0" fillId="0" borderId="0" xfId="0" applyNumberFormat="1" applyFont="1" applyAlignment="1">
      <alignment horizontal="center" vertical="center"/>
    </xf>
    <xf numFmtId="49" fontId="8" fillId="0" borderId="11" xfId="0" applyNumberFormat="1" applyFont="1" applyBorder="1" applyAlignment="1">
      <alignment horizontal="left" vertical="center" wrapText="1"/>
    </xf>
    <xf numFmtId="49" fontId="8"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1" xfId="0" applyNumberFormat="1" applyFont="1" applyBorder="1" applyAlignment="1">
      <alignment horizontal="left" vertical="center" wrapText="1"/>
    </xf>
    <xf numFmtId="0" fontId="0" fillId="0" borderId="0" xfId="0" applyNumberFormat="1" applyFont="1" applyAlignment="1">
      <alignment horizontal="left" vertical="center" wrapText="1"/>
    </xf>
    <xf numFmtId="49" fontId="0" fillId="0" borderId="0" xfId="0" applyNumberFormat="1" applyFont="1" applyAlignment="1">
      <alignment horizontal="left" vertical="center" wrapText="1"/>
    </xf>
    <xf numFmtId="49" fontId="0" fillId="0" borderId="11" xfId="0" applyNumberFormat="1" applyFont="1" applyBorder="1" applyAlignment="1">
      <alignment horizontal="left" vertical="center"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9" xfId="0" applyNumberFormat="1" applyFont="1" applyBorder="1" applyAlignment="1">
      <alignment horizontal="center" vertical="top"/>
    </xf>
    <xf numFmtId="0" fontId="0" fillId="0" borderId="28" xfId="0" applyNumberFormat="1" applyFont="1" applyBorder="1" applyAlignment="1">
      <alignment horizontal="center" vertical="top"/>
    </xf>
    <xf numFmtId="0" fontId="0" fillId="0" borderId="15" xfId="0" applyNumberFormat="1" applyFont="1" applyBorder="1" applyAlignment="1">
      <alignment horizontal="center" vertical="top"/>
    </xf>
    <xf numFmtId="0" fontId="8" fillId="0" borderId="9" xfId="0" applyNumberFormat="1" applyFont="1" applyBorder="1" applyAlignment="1">
      <alignment horizontal="left" vertical="top" wrapText="1"/>
    </xf>
    <xf numFmtId="0" fontId="8" fillId="0" borderId="28" xfId="0" applyNumberFormat="1" applyFont="1" applyBorder="1" applyAlignment="1">
      <alignment horizontal="left" vertical="top" wrapText="1"/>
    </xf>
    <xf numFmtId="0" fontId="8" fillId="0" borderId="15" xfId="0" applyNumberFormat="1" applyFont="1" applyBorder="1" applyAlignment="1">
      <alignment horizontal="left" vertical="top" wrapText="1"/>
    </xf>
    <xf numFmtId="0" fontId="8" fillId="15" borderId="9" xfId="0" applyNumberFormat="1" applyFont="1" applyFill="1" applyBorder="1" applyAlignment="1">
      <alignment horizontal="left" vertical="top" wrapText="1"/>
    </xf>
    <xf numFmtId="0" fontId="8" fillId="15" borderId="28" xfId="0" applyNumberFormat="1" applyFont="1" applyFill="1" applyBorder="1" applyAlignment="1">
      <alignment horizontal="left" vertical="top" wrapText="1"/>
    </xf>
    <xf numFmtId="0" fontId="8" fillId="15" borderId="15" xfId="0" applyNumberFormat="1" applyFont="1" applyFill="1" applyBorder="1" applyAlignment="1">
      <alignment horizontal="left" vertical="top" wrapText="1"/>
    </xf>
    <xf numFmtId="49" fontId="40" fillId="9" borderId="20" xfId="0" applyNumberFormat="1" applyFont="1" applyFill="1" applyBorder="1" applyAlignment="1">
      <alignment horizontal="center" vertical="center" wrapText="1"/>
    </xf>
    <xf numFmtId="0" fontId="63" fillId="0" borderId="16" xfId="0" applyNumberFormat="1" applyFont="1" applyBorder="1" applyAlignment="1">
      <alignment horizontal="left" vertical="center" wrapText="1" indent="1"/>
    </xf>
    <xf numFmtId="0" fontId="63" fillId="0" borderId="28" xfId="0" applyNumberFormat="1" applyFont="1" applyBorder="1" applyAlignment="1">
      <alignment horizontal="left" vertical="center" wrapText="1" indent="1"/>
    </xf>
    <xf numFmtId="0" fontId="63" fillId="0" borderId="14" xfId="0" applyNumberFormat="1" applyFont="1" applyBorder="1" applyAlignment="1">
      <alignment horizontal="left" vertical="center" wrapText="1" indent="1"/>
    </xf>
    <xf numFmtId="0" fontId="8" fillId="0" borderId="20" xfId="0" applyNumberFormat="1" applyFont="1" applyBorder="1" applyAlignment="1">
      <alignment horizontal="left" vertical="center" indent="1"/>
    </xf>
    <xf numFmtId="0" fontId="0" fillId="0" borderId="4" xfId="0" applyNumberFormat="1" applyFont="1" applyBorder="1" applyAlignment="1">
      <alignment horizontal="center" vertical="center" wrapText="1"/>
    </xf>
    <xf numFmtId="0" fontId="7" fillId="0" borderId="11" xfId="0" applyNumberFormat="1" applyFont="1" applyBorder="1" applyAlignment="1">
      <alignment horizontal="left" vertical="center" wrapText="1" indent="1"/>
    </xf>
    <xf numFmtId="0" fontId="8" fillId="0" borderId="9" xfId="0" applyNumberFormat="1" applyFont="1" applyBorder="1" applyAlignment="1">
      <alignment horizontal="center" vertical="center" wrapText="1"/>
    </xf>
    <xf numFmtId="0" fontId="8" fillId="0" borderId="29" xfId="0" applyNumberFormat="1" applyFont="1" applyBorder="1" applyAlignment="1">
      <alignment horizontal="center" vertical="center" wrapText="1"/>
    </xf>
    <xf numFmtId="0" fontId="8" fillId="0" borderId="12" xfId="0" applyNumberFormat="1" applyFont="1" applyBorder="1" applyAlignment="1">
      <alignment horizontal="center" vertical="center" wrapText="1"/>
    </xf>
    <xf numFmtId="0" fontId="8" fillId="0" borderId="14" xfId="0" applyNumberFormat="1" applyFont="1" applyBorder="1" applyAlignment="1">
      <alignment horizontal="center" vertical="center" wrapText="1"/>
    </xf>
    <xf numFmtId="0" fontId="8" fillId="0" borderId="16" xfId="0" applyNumberFormat="1" applyFont="1" applyBorder="1" applyAlignment="1">
      <alignment horizontal="center" vertical="center" wrapText="1"/>
    </xf>
    <xf numFmtId="0" fontId="8" fillId="0" borderId="28" xfId="0" applyNumberFormat="1" applyFont="1" applyBorder="1" applyAlignment="1">
      <alignment horizontal="center" vertical="center" wrapText="1"/>
    </xf>
    <xf numFmtId="0" fontId="8" fillId="0" borderId="19" xfId="0" applyNumberFormat="1" applyFont="1" applyBorder="1" applyAlignment="1">
      <alignment horizontal="center" vertical="center" wrapText="1"/>
    </xf>
    <xf numFmtId="0" fontId="8" fillId="0" borderId="22" xfId="0" applyNumberFormat="1" applyFont="1" applyBorder="1" applyAlignment="1">
      <alignment horizontal="center" vertical="center" wrapText="1"/>
    </xf>
    <xf numFmtId="49" fontId="8" fillId="0" borderId="4" xfId="0" applyNumberFormat="1" applyFont="1" applyBorder="1" applyAlignment="1">
      <alignment horizontal="center" vertical="center"/>
    </xf>
    <xf numFmtId="49" fontId="8" fillId="0" borderId="9" xfId="0" applyNumberFormat="1" applyFont="1" applyBorder="1" applyAlignment="1">
      <alignment horizontal="center" vertical="center"/>
    </xf>
    <xf numFmtId="0" fontId="8" fillId="0" borderId="4" xfId="0" applyNumberFormat="1" applyFont="1" applyBorder="1" applyAlignment="1">
      <alignment horizontal="left" vertical="center" wrapText="1"/>
    </xf>
    <xf numFmtId="0" fontId="8" fillId="0" borderId="9" xfId="0" applyNumberFormat="1" applyFont="1" applyBorder="1" applyAlignment="1">
      <alignment horizontal="left" vertical="center" wrapText="1"/>
    </xf>
    <xf numFmtId="0" fontId="8" fillId="0" borderId="29" xfId="0" applyNumberFormat="1" applyFont="1" applyBorder="1" applyAlignment="1">
      <alignment horizontal="left" vertical="center" wrapText="1"/>
    </xf>
    <xf numFmtId="49" fontId="8" fillId="15" borderId="9" xfId="0" applyNumberFormat="1" applyFont="1" applyFill="1" applyBorder="1" applyAlignment="1">
      <alignment horizontal="center" vertical="center" wrapText="1"/>
    </xf>
    <xf numFmtId="49" fontId="8" fillId="15" borderId="28" xfId="0" applyNumberFormat="1" applyFont="1" applyFill="1" applyBorder="1" applyAlignment="1">
      <alignment horizontal="center" vertical="center" wrapText="1"/>
    </xf>
    <xf numFmtId="0" fontId="8" fillId="0" borderId="11" xfId="0" applyNumberFormat="1" applyFont="1" applyBorder="1" applyAlignment="1">
      <alignment horizontal="center" vertical="center"/>
    </xf>
    <xf numFmtId="0" fontId="8" fillId="0" borderId="0" xfId="0" applyNumberFormat="1" applyFont="1" applyAlignment="1">
      <alignment horizontal="center" vertical="center"/>
    </xf>
    <xf numFmtId="0" fontId="33" fillId="0" borderId="20" xfId="0" applyNumberFormat="1" applyFont="1" applyBorder="1" applyAlignment="1">
      <alignment horizontal="left" vertical="center"/>
    </xf>
    <xf numFmtId="0" fontId="33" fillId="0" borderId="22" xfId="0" applyNumberFormat="1" applyFont="1" applyBorder="1" applyAlignment="1">
      <alignment horizontal="left" vertical="center"/>
    </xf>
    <xf numFmtId="0" fontId="33" fillId="0" borderId="0" xfId="0" applyNumberFormat="1" applyFont="1" applyAlignment="1">
      <alignment horizontal="left" vertical="center"/>
    </xf>
    <xf numFmtId="0" fontId="33" fillId="0" borderId="16" xfId="0" applyNumberFormat="1" applyFont="1" applyBorder="1" applyAlignment="1">
      <alignment horizontal="left" vertical="center"/>
    </xf>
    <xf numFmtId="0" fontId="8" fillId="0" borderId="6" xfId="0" applyNumberFormat="1" applyFont="1" applyBorder="1" applyAlignment="1">
      <alignment horizontal="left" vertical="center" wrapText="1"/>
    </xf>
    <xf numFmtId="0" fontId="7" fillId="0" borderId="20" xfId="0" applyNumberFormat="1" applyFont="1" applyBorder="1" applyAlignment="1">
      <alignment horizontal="left" vertical="center" wrapText="1" indent="1"/>
    </xf>
    <xf numFmtId="49" fontId="8" fillId="9" borderId="0" xfId="0" applyNumberFormat="1" applyFont="1" applyFill="1" applyAlignment="1">
      <alignment horizontal="center" vertical="center" wrapText="1"/>
    </xf>
    <xf numFmtId="0" fontId="38" fillId="0" borderId="0" xfId="33" applyFont="1" applyAlignment="1">
      <alignment horizontal="right" vertical="top" wrapText="1"/>
    </xf>
    <xf numFmtId="49" fontId="0" fillId="9" borderId="4" xfId="34" applyNumberFormat="1" applyFont="1" applyFill="1" applyBorder="1" applyAlignment="1">
      <alignment horizontal="center" vertical="center" wrapText="1"/>
    </xf>
    <xf numFmtId="49" fontId="8" fillId="9" borderId="4" xfId="34" applyNumberFormat="1" applyFont="1" applyFill="1" applyBorder="1" applyAlignment="1">
      <alignment horizontal="center" vertical="center" wrapText="1"/>
    </xf>
    <xf numFmtId="0" fontId="8" fillId="9" borderId="0" xfId="0" applyNumberFormat="1" applyFont="1" applyFill="1" applyAlignment="1">
      <alignment horizontal="center" vertical="center" wrapText="1"/>
    </xf>
    <xf numFmtId="0" fontId="38" fillId="0" borderId="0" xfId="33" applyFont="1" applyAlignment="1">
      <alignment horizontal="left" vertical="top" wrapText="1" indent="1"/>
    </xf>
    <xf numFmtId="0" fontId="83" fillId="9" borderId="0" xfId="0" applyNumberFormat="1" applyFont="1" applyFill="1" applyAlignment="1">
      <alignment horizontal="left" vertical="center" wrapText="1"/>
    </xf>
    <xf numFmtId="0" fontId="0" fillId="9" borderId="4" xfId="0" applyNumberFormat="1" applyFont="1" applyFill="1" applyBorder="1" applyAlignment="1">
      <alignment horizontal="center" vertical="center" wrapText="1"/>
    </xf>
    <xf numFmtId="0" fontId="8" fillId="9" borderId="4" xfId="0" applyNumberFormat="1" applyFont="1" applyFill="1" applyBorder="1" applyAlignment="1">
      <alignment horizontal="center" vertical="center" wrapText="1"/>
    </xf>
    <xf numFmtId="0" fontId="8" fillId="9" borderId="16" xfId="0" applyNumberFormat="1" applyFont="1" applyFill="1" applyBorder="1" applyAlignment="1">
      <alignment horizontal="center" vertical="center" wrapText="1"/>
    </xf>
    <xf numFmtId="0" fontId="8" fillId="0" borderId="20" xfId="0" applyNumberFormat="1" applyFont="1" applyBorder="1" applyAlignment="1">
      <alignment horizontal="left" vertical="center" wrapText="1" indent="1"/>
    </xf>
    <xf numFmtId="0" fontId="8" fillId="9" borderId="9" xfId="0" applyNumberFormat="1" applyFont="1" applyFill="1" applyBorder="1" applyAlignment="1">
      <alignment horizontal="left" vertical="top" wrapText="1"/>
    </xf>
    <xf numFmtId="0" fontId="8" fillId="9" borderId="28" xfId="0" applyNumberFormat="1" applyFont="1" applyFill="1" applyBorder="1" applyAlignment="1">
      <alignment horizontal="left" vertical="top" wrapText="1"/>
    </xf>
    <xf numFmtId="0" fontId="8" fillId="9" borderId="15" xfId="0" applyNumberFormat="1" applyFont="1" applyFill="1" applyBorder="1" applyAlignment="1">
      <alignment horizontal="left" vertical="top" wrapText="1"/>
    </xf>
    <xf numFmtId="0" fontId="0" fillId="0" borderId="6" xfId="0" applyNumberFormat="1" applyFont="1" applyBorder="1" applyAlignment="1">
      <alignment horizontal="center" vertical="center" wrapText="1"/>
    </xf>
    <xf numFmtId="0" fontId="0" fillId="0" borderId="9" xfId="0" applyNumberFormat="1" applyFont="1" applyBorder="1" applyAlignment="1">
      <alignment horizontal="center" vertical="center" wrapText="1"/>
    </xf>
    <xf numFmtId="0" fontId="0" fillId="0" borderId="15" xfId="0" applyNumberFormat="1" applyFont="1" applyBorder="1" applyAlignment="1">
      <alignment horizontal="center" vertical="center" wrapText="1"/>
    </xf>
    <xf numFmtId="0" fontId="0" fillId="0" borderId="12" xfId="0" applyNumberFormat="1" applyFont="1" applyBorder="1" applyAlignment="1">
      <alignment horizontal="center" vertical="center" wrapText="1"/>
    </xf>
    <xf numFmtId="0" fontId="0" fillId="0" borderId="22" xfId="0" applyNumberFormat="1" applyFont="1" applyBorder="1" applyAlignment="1">
      <alignment horizontal="center" vertical="center" wrapText="1"/>
    </xf>
    <xf numFmtId="0" fontId="0" fillId="0" borderId="29" xfId="0" applyNumberFormat="1" applyFont="1" applyBorder="1" applyAlignment="1">
      <alignment horizontal="center" vertical="center" wrapText="1"/>
    </xf>
    <xf numFmtId="0" fontId="0" fillId="0" borderId="19" xfId="0" applyNumberFormat="1" applyFont="1" applyBorder="1" applyAlignment="1">
      <alignment horizontal="center" vertical="center" wrapText="1"/>
    </xf>
    <xf numFmtId="0" fontId="0" fillId="0" borderId="9" xfId="0" applyNumberFormat="1" applyFont="1" applyBorder="1" applyAlignment="1">
      <alignment horizontal="left" vertical="top" wrapText="1"/>
    </xf>
    <xf numFmtId="0" fontId="0" fillId="0" borderId="15" xfId="0" applyNumberFormat="1" applyFont="1" applyBorder="1" applyAlignment="1">
      <alignment horizontal="left" vertical="top" wrapText="1"/>
    </xf>
    <xf numFmtId="0" fontId="8" fillId="0" borderId="22" xfId="0" applyNumberFormat="1" applyFont="1" applyBorder="1" applyAlignment="1">
      <alignment horizontal="left" vertical="center" wrapText="1" indent="1"/>
    </xf>
    <xf numFmtId="0" fontId="8" fillId="0" borderId="15" xfId="0" applyNumberFormat="1" applyFont="1" applyBorder="1" applyAlignment="1">
      <alignment horizontal="left" vertical="center" wrapText="1" indent="1"/>
    </xf>
    <xf numFmtId="0" fontId="8" fillId="0" borderId="19" xfId="0" applyNumberFormat="1" applyFont="1" applyBorder="1" applyAlignment="1">
      <alignment horizontal="left" vertical="center" wrapText="1" indent="1"/>
    </xf>
    <xf numFmtId="0" fontId="39" fillId="0" borderId="0" xfId="0" applyNumberFormat="1" applyFont="1" applyAlignment="1">
      <alignment horizontal="center" vertical="center" wrapText="1"/>
    </xf>
    <xf numFmtId="0" fontId="0" fillId="0" borderId="7" xfId="0" applyNumberFormat="1" applyFont="1" applyBorder="1" applyAlignment="1">
      <alignment horizontal="center" vertical="center" wrapText="1"/>
    </xf>
    <xf numFmtId="0" fontId="0" fillId="0" borderId="5" xfId="0" applyNumberFormat="1" applyFont="1" applyBorder="1" applyAlignment="1">
      <alignment horizontal="center" vertical="center" wrapText="1"/>
    </xf>
    <xf numFmtId="49" fontId="0" fillId="0" borderId="29" xfId="0" applyNumberFormat="1" applyFont="1" applyBorder="1" applyAlignment="1">
      <alignment horizontal="center" vertical="center" wrapText="1"/>
    </xf>
    <xf numFmtId="49" fontId="0" fillId="0" borderId="19" xfId="0" applyNumberFormat="1" applyFont="1" applyBorder="1" applyAlignment="1">
      <alignment horizontal="center" vertical="center" wrapText="1"/>
    </xf>
    <xf numFmtId="0" fontId="8" fillId="15" borderId="11" xfId="0" applyNumberFormat="1" applyFont="1" applyFill="1" applyBorder="1" applyAlignment="1">
      <alignment horizontal="left" vertical="center" wrapText="1"/>
    </xf>
    <xf numFmtId="0" fontId="8" fillId="15" borderId="20" xfId="0" applyNumberFormat="1" applyFont="1" applyFill="1" applyBorder="1" applyAlignment="1">
      <alignment horizontal="left" vertical="center" wrapText="1"/>
    </xf>
    <xf numFmtId="0" fontId="8" fillId="0" borderId="15" xfId="0" applyNumberFormat="1" applyFont="1" applyBorder="1" applyAlignment="1">
      <alignment horizontal="center" vertical="center" wrapText="1"/>
    </xf>
    <xf numFmtId="0" fontId="0" fillId="0" borderId="28" xfId="0" applyNumberFormat="1" applyFont="1" applyBorder="1" applyAlignment="1">
      <alignment horizontal="left" vertical="top" wrapText="1"/>
    </xf>
    <xf numFmtId="49" fontId="85" fillId="0" borderId="4" xfId="0" applyNumberFormat="1" applyFont="1" applyBorder="1" applyAlignment="1">
      <alignment horizontal="center" vertical="top" wrapText="1"/>
    </xf>
    <xf numFmtId="0" fontId="85" fillId="7" borderId="4" xfId="0" applyNumberFormat="1" applyFont="1" applyFill="1" applyBorder="1" applyAlignment="1">
      <alignment horizontal="center" vertical="center" wrapText="1"/>
    </xf>
    <xf numFmtId="49" fontId="85" fillId="0" borderId="29" xfId="0" applyNumberFormat="1" applyFont="1" applyBorder="1" applyAlignment="1">
      <alignment horizontal="center" vertical="top" wrapText="1"/>
    </xf>
    <xf numFmtId="49" fontId="85" fillId="0" borderId="19" xfId="0" applyNumberFormat="1" applyFont="1" applyBorder="1" applyAlignment="1">
      <alignment horizontal="center" vertical="top" wrapText="1"/>
    </xf>
    <xf numFmtId="49" fontId="85" fillId="0" borderId="6" xfId="0" applyNumberFormat="1" applyFont="1" applyBorder="1" applyAlignment="1">
      <alignment horizontal="center" vertical="top" wrapText="1"/>
    </xf>
    <xf numFmtId="49" fontId="85" fillId="0" borderId="7" xfId="0" applyNumberFormat="1" applyFont="1" applyBorder="1" applyAlignment="1">
      <alignment horizontal="center" vertical="top" wrapText="1"/>
    </xf>
    <xf numFmtId="49" fontId="85" fillId="0" borderId="5" xfId="0" applyNumberFormat="1" applyFont="1" applyBorder="1" applyAlignment="1">
      <alignment horizontal="center" vertical="top" wrapText="1"/>
    </xf>
    <xf numFmtId="49" fontId="85" fillId="0" borderId="9" xfId="0" applyNumberFormat="1" applyFont="1" applyBorder="1" applyAlignment="1">
      <alignment horizontal="center" vertical="top" wrapText="1"/>
    </xf>
    <xf numFmtId="49" fontId="85" fillId="0" borderId="28" xfId="0" applyNumberFormat="1" applyFont="1" applyBorder="1" applyAlignment="1">
      <alignment horizontal="center" vertical="top" wrapText="1"/>
    </xf>
    <xf numFmtId="49" fontId="85" fillId="0" borderId="15" xfId="0" applyNumberFormat="1" applyFont="1" applyBorder="1" applyAlignment="1">
      <alignment horizontal="center" vertical="top" wrapText="1"/>
    </xf>
    <xf numFmtId="49" fontId="8" fillId="0" borderId="4" xfId="0" applyNumberFormat="1" applyFont="1" applyBorder="1" applyAlignment="1">
      <alignment horizontal="center" vertical="top" wrapText="1"/>
    </xf>
    <xf numFmtId="0" fontId="0" fillId="11" borderId="4" xfId="0" applyNumberFormat="1" applyFont="1" applyFill="1" applyBorder="1" applyAlignment="1">
      <alignment horizontal="left" vertical="top" wrapText="1" indent="1"/>
    </xf>
    <xf numFmtId="49" fontId="8" fillId="15" borderId="9" xfId="0" applyNumberFormat="1" applyFont="1" applyFill="1" applyBorder="1" applyAlignment="1">
      <alignment horizontal="center" vertical="top" wrapText="1"/>
    </xf>
    <xf numFmtId="49" fontId="8" fillId="15" borderId="15" xfId="0" applyNumberFormat="1" applyFont="1" applyFill="1" applyBorder="1" applyAlignment="1">
      <alignment horizontal="center" vertical="top" wrapText="1"/>
    </xf>
    <xf numFmtId="170" fontId="0" fillId="14" borderId="4" xfId="0" applyNumberFormat="1" applyFont="1" applyFill="1" applyBorder="1" applyAlignment="1" applyProtection="1">
      <alignment horizontal="center" vertical="top" wrapText="1"/>
      <protection locked="0"/>
    </xf>
    <xf numFmtId="49" fontId="0" fillId="14" borderId="4" xfId="0" applyNumberFormat="1" applyFont="1" applyFill="1" applyBorder="1" applyAlignment="1" applyProtection="1">
      <alignment horizontal="center" vertical="top" wrapText="1"/>
      <protection locked="0"/>
    </xf>
    <xf numFmtId="170" fontId="0" fillId="6" borderId="4" xfId="0" applyNumberFormat="1" applyFont="1" applyFill="1" applyBorder="1" applyAlignment="1" applyProtection="1">
      <alignment horizontal="center" vertical="top" wrapText="1"/>
      <protection locked="0"/>
    </xf>
    <xf numFmtId="49" fontId="0" fillId="6" borderId="4" xfId="0" applyNumberFormat="1" applyFont="1" applyFill="1" applyBorder="1" applyAlignment="1" applyProtection="1">
      <alignment horizontal="center" vertical="top" wrapText="1"/>
      <protection locked="0"/>
    </xf>
    <xf numFmtId="49" fontId="8" fillId="15" borderId="4" xfId="0" applyNumberFormat="1" applyFont="1" applyFill="1" applyBorder="1" applyAlignment="1">
      <alignment horizontal="left" vertical="top" wrapText="1"/>
    </xf>
    <xf numFmtId="0" fontId="40" fillId="0" borderId="0" xfId="0" applyNumberFormat="1" applyFont="1" applyAlignment="1">
      <alignment horizontal="center" vertical="center" wrapText="1"/>
    </xf>
    <xf numFmtId="0" fontId="0" fillId="0" borderId="4" xfId="0" applyNumberFormat="1" applyFont="1" applyBorder="1" applyAlignment="1">
      <alignment horizontal="center" vertical="center"/>
    </xf>
    <xf numFmtId="49" fontId="8" fillId="14" borderId="4" xfId="0" applyNumberFormat="1" applyFont="1" applyFill="1" applyBorder="1" applyAlignment="1" applyProtection="1">
      <alignment horizontal="left" vertical="top" wrapText="1"/>
      <protection locked="0"/>
    </xf>
    <xf numFmtId="49" fontId="8" fillId="0" borderId="5" xfId="0" applyNumberFormat="1" applyFont="1" applyBorder="1" applyAlignment="1">
      <alignment horizontal="center" vertical="center" wrapText="1"/>
    </xf>
    <xf numFmtId="0" fontId="8" fillId="6" borderId="4" xfId="0" applyNumberFormat="1" applyFont="1" applyFill="1" applyBorder="1" applyAlignment="1" applyProtection="1">
      <alignment horizontal="left" vertical="top" wrapText="1"/>
      <protection locked="0"/>
    </xf>
    <xf numFmtId="49" fontId="0" fillId="14" borderId="4" xfId="0" applyNumberFormat="1" applyFont="1" applyFill="1" applyBorder="1" applyAlignment="1" applyProtection="1">
      <alignment horizontal="left" vertical="center" wrapText="1"/>
      <protection locked="0"/>
    </xf>
    <xf numFmtId="49" fontId="8" fillId="0" borderId="9" xfId="0" applyNumberFormat="1" applyFont="1" applyBorder="1" applyAlignment="1">
      <alignment horizontal="center" vertical="center" wrapText="1"/>
    </xf>
    <xf numFmtId="49" fontId="8" fillId="0" borderId="28" xfId="0" applyNumberFormat="1" applyFont="1" applyBorder="1" applyAlignment="1">
      <alignment horizontal="center" vertical="center" wrapText="1"/>
    </xf>
    <xf numFmtId="49" fontId="8" fillId="0" borderId="15" xfId="0" applyNumberFormat="1" applyFont="1" applyBorder="1" applyAlignment="1">
      <alignment horizontal="center" vertical="center" wrapText="1"/>
    </xf>
    <xf numFmtId="0" fontId="0" fillId="0" borderId="6" xfId="0" applyNumberFormat="1" applyFont="1" applyBorder="1" applyAlignment="1">
      <alignment horizontal="right" vertical="center" wrapText="1" indent="1"/>
    </xf>
    <xf numFmtId="0" fontId="0" fillId="0" borderId="7" xfId="0" applyNumberFormat="1" applyFont="1" applyBorder="1" applyAlignment="1">
      <alignment horizontal="right" vertical="center" wrapText="1" indent="1"/>
    </xf>
    <xf numFmtId="0" fontId="0" fillId="0" borderId="5" xfId="0" applyNumberFormat="1" applyFont="1" applyBorder="1" applyAlignment="1">
      <alignment horizontal="right" vertical="center" wrapText="1" indent="1"/>
    </xf>
    <xf numFmtId="0" fontId="0" fillId="11" borderId="4" xfId="0" applyNumberFormat="1" applyFont="1" applyFill="1" applyBorder="1" applyAlignment="1">
      <alignment horizontal="left" vertical="center" wrapText="1" indent="1"/>
    </xf>
    <xf numFmtId="49" fontId="113" fillId="15" borderId="9" xfId="0" applyNumberFormat="1" applyFont="1" applyFill="1" applyBorder="1" applyAlignment="1">
      <alignment horizontal="left" vertical="center" wrapText="1" indent="1"/>
    </xf>
    <xf numFmtId="49" fontId="113" fillId="15" borderId="28" xfId="0" applyNumberFormat="1" applyFont="1" applyFill="1" applyBorder="1" applyAlignment="1">
      <alignment horizontal="left" vertical="center" wrapText="1" indent="1"/>
    </xf>
    <xf numFmtId="49" fontId="113" fillId="15" borderId="15" xfId="0" applyNumberFormat="1" applyFont="1" applyFill="1" applyBorder="1" applyAlignment="1">
      <alignment horizontal="left" vertical="center" wrapText="1" indent="1"/>
    </xf>
    <xf numFmtId="49" fontId="113" fillId="0" borderId="4" xfId="0" applyNumberFormat="1" applyFont="1" applyBorder="1" applyAlignment="1">
      <alignment horizontal="left" vertical="center" wrapText="1"/>
    </xf>
    <xf numFmtId="49" fontId="96" fillId="0" borderId="4" xfId="0" applyNumberFormat="1" applyFont="1" applyBorder="1" applyAlignment="1">
      <alignment horizontal="center" vertical="center" wrapText="1"/>
    </xf>
    <xf numFmtId="0" fontId="38" fillId="0" borderId="4" xfId="0" applyNumberFormat="1" applyFont="1" applyBorder="1" applyAlignment="1">
      <alignment horizontal="center" vertical="center"/>
    </xf>
    <xf numFmtId="0" fontId="0" fillId="14" borderId="4" xfId="0" applyNumberFormat="1" applyFont="1" applyFill="1" applyBorder="1" applyAlignment="1" applyProtection="1">
      <alignment horizontal="left" vertical="center" wrapText="1"/>
      <protection locked="0"/>
    </xf>
    <xf numFmtId="49" fontId="0" fillId="14" borderId="6" xfId="0" applyNumberFormat="1" applyFont="1" applyFill="1" applyBorder="1" applyAlignment="1" applyProtection="1">
      <alignment horizontal="left" vertical="center" wrapText="1"/>
      <protection locked="0"/>
    </xf>
    <xf numFmtId="0" fontId="39" fillId="0" borderId="0" xfId="0" applyNumberFormat="1" applyFont="1" applyAlignment="1">
      <alignment horizontal="center" vertical="top"/>
    </xf>
    <xf numFmtId="49" fontId="30" fillId="0" borderId="9" xfId="0" applyNumberFormat="1" applyFont="1" applyBorder="1" applyAlignment="1">
      <alignment horizontal="center" vertical="top" wrapText="1"/>
    </xf>
    <xf numFmtId="49" fontId="8" fillId="0" borderId="28" xfId="0" applyNumberFormat="1" applyFont="1" applyBorder="1" applyAlignment="1">
      <alignment horizontal="center" vertical="top" wrapText="1"/>
    </xf>
    <xf numFmtId="49" fontId="8" fillId="0" borderId="15" xfId="0" applyNumberFormat="1" applyFont="1" applyBorder="1" applyAlignment="1">
      <alignment horizontal="center" vertical="top" wrapText="1"/>
    </xf>
    <xf numFmtId="49" fontId="8" fillId="14" borderId="6" xfId="0" applyNumberFormat="1" applyFont="1" applyFill="1" applyBorder="1" applyAlignment="1" applyProtection="1">
      <alignment horizontal="left" vertical="center" wrapText="1" indent="1"/>
      <protection locked="0"/>
    </xf>
    <xf numFmtId="49" fontId="8" fillId="14" borderId="4" xfId="0" applyNumberFormat="1" applyFont="1" applyFill="1" applyBorder="1" applyAlignment="1" applyProtection="1">
      <alignment horizontal="left" vertical="center" wrapText="1" indent="1"/>
      <protection locked="0"/>
    </xf>
    <xf numFmtId="0" fontId="8" fillId="0" borderId="15" xfId="0" applyNumberFormat="1" applyFont="1" applyBorder="1" applyAlignment="1">
      <alignment horizontal="left" vertical="center" wrapText="1"/>
    </xf>
    <xf numFmtId="0" fontId="0" fillId="15" borderId="4" xfId="0" applyNumberFormat="1" applyFont="1" applyFill="1" applyBorder="1" applyAlignment="1" applyProtection="1">
      <alignment horizontal="left" vertical="center" wrapText="1"/>
      <protection locked="0"/>
    </xf>
    <xf numFmtId="49" fontId="0" fillId="15" borderId="4" xfId="0" applyNumberFormat="1" applyFont="1" applyFill="1" applyBorder="1" applyAlignment="1" applyProtection="1">
      <alignment horizontal="left" vertical="center" wrapText="1"/>
      <protection locked="0"/>
    </xf>
    <xf numFmtId="49" fontId="8" fillId="6" borderId="4" xfId="0" applyNumberFormat="1" applyFont="1" applyFill="1" applyBorder="1" applyAlignment="1" applyProtection="1">
      <alignment horizontal="left" vertical="center" wrapText="1"/>
      <protection locked="0"/>
    </xf>
    <xf numFmtId="49" fontId="0" fillId="6" borderId="4" xfId="0" applyNumberFormat="1" applyFont="1" applyFill="1" applyBorder="1" applyAlignment="1" applyProtection="1">
      <alignment horizontal="left" vertical="top"/>
      <protection locked="0"/>
    </xf>
    <xf numFmtId="0" fontId="8" fillId="15" borderId="4" xfId="0" applyNumberFormat="1" applyFont="1" applyFill="1" applyBorder="1" applyAlignment="1">
      <alignment horizontal="center" vertical="center" wrapText="1"/>
    </xf>
    <xf numFmtId="14" fontId="71" fillId="0" borderId="9" xfId="0" applyNumberFormat="1" applyFont="1" applyBorder="1" applyAlignment="1">
      <alignment horizontal="center" vertical="center" wrapText="1"/>
    </xf>
    <xf numFmtId="14" fontId="71" fillId="0" borderId="28" xfId="0" applyNumberFormat="1" applyFont="1" applyBorder="1" applyAlignment="1">
      <alignment horizontal="center" vertical="center" wrapText="1"/>
    </xf>
    <xf numFmtId="0" fontId="65" fillId="0" borderId="4" xfId="0" applyNumberFormat="1" applyFont="1" applyBorder="1" applyAlignment="1">
      <alignment horizontal="left" vertical="center" wrapText="1" indent="1"/>
    </xf>
    <xf numFmtId="0" fontId="65" fillId="0" borderId="4" xfId="0" applyNumberFormat="1" applyFont="1" applyBorder="1" applyAlignment="1">
      <alignment horizontal="left" vertical="top" indent="1"/>
    </xf>
    <xf numFmtId="0" fontId="29" fillId="0" borderId="4" xfId="0" applyNumberFormat="1" applyFont="1" applyBorder="1" applyAlignment="1">
      <alignment horizontal="center" vertical="center" wrapText="1"/>
    </xf>
    <xf numFmtId="0" fontId="8" fillId="15" borderId="4" xfId="0" applyNumberFormat="1" applyFont="1" applyFill="1" applyBorder="1" applyAlignment="1">
      <alignment horizontal="left" vertical="center" wrapText="1" indent="1"/>
    </xf>
    <xf numFmtId="49" fontId="8" fillId="15" borderId="4" xfId="0" applyNumberFormat="1" applyFont="1" applyFill="1" applyBorder="1" applyAlignment="1">
      <alignment horizontal="center" vertical="top" wrapText="1"/>
    </xf>
    <xf numFmtId="49" fontId="8" fillId="15" borderId="6" xfId="0" applyNumberFormat="1" applyFont="1" applyFill="1" applyBorder="1" applyAlignment="1">
      <alignment horizontal="center" vertical="top" wrapText="1"/>
    </xf>
    <xf numFmtId="49" fontId="0" fillId="11" borderId="4" xfId="0" applyNumberFormat="1" applyFont="1" applyFill="1" applyBorder="1" applyAlignment="1">
      <alignment horizontal="center" vertical="top" wrapText="1"/>
    </xf>
    <xf numFmtId="0" fontId="8" fillId="11" borderId="4" xfId="0" applyNumberFormat="1" applyFont="1" applyFill="1" applyBorder="1" applyAlignment="1">
      <alignment horizontal="center" vertical="top" wrapText="1"/>
    </xf>
    <xf numFmtId="49" fontId="8" fillId="15" borderId="6" xfId="0" applyNumberFormat="1" applyFont="1" applyFill="1" applyBorder="1" applyAlignment="1">
      <alignment horizontal="center" vertical="center" wrapText="1"/>
    </xf>
    <xf numFmtId="49" fontId="33" fillId="13" borderId="43" xfId="0" applyNumberFormat="1" applyFont="1" applyFill="1" applyBorder="1" applyAlignment="1">
      <alignment horizontal="left" vertical="center" indent="1"/>
    </xf>
    <xf numFmtId="49" fontId="8" fillId="11" borderId="4" xfId="0" applyNumberFormat="1" applyFont="1" applyFill="1" applyBorder="1" applyAlignment="1">
      <alignment horizontal="center" vertical="center" wrapText="1"/>
    </xf>
    <xf numFmtId="49" fontId="8" fillId="11" borderId="50" xfId="0" applyNumberFormat="1" applyFont="1" applyFill="1" applyBorder="1" applyAlignment="1">
      <alignment horizontal="center" vertical="center" wrapText="1"/>
    </xf>
    <xf numFmtId="3" fontId="8" fillId="14" borderId="4" xfId="0" applyNumberFormat="1" applyFont="1" applyFill="1" applyBorder="1" applyAlignment="1" applyProtection="1">
      <alignment horizontal="center" vertical="center" wrapText="1"/>
      <protection locked="0"/>
    </xf>
    <xf numFmtId="49" fontId="113" fillId="11" borderId="4" xfId="0" applyNumberFormat="1" applyFont="1" applyFill="1" applyBorder="1" applyAlignment="1">
      <alignment horizontal="left" vertical="center" wrapText="1"/>
    </xf>
    <xf numFmtId="49" fontId="8" fillId="15" borderId="5" xfId="0" applyNumberFormat="1" applyFont="1" applyFill="1" applyBorder="1" applyAlignment="1">
      <alignment horizontal="left" vertical="center" wrapText="1"/>
    </xf>
    <xf numFmtId="49" fontId="8" fillId="15" borderId="4" xfId="0" applyNumberFormat="1" applyFont="1" applyFill="1" applyBorder="1" applyAlignment="1">
      <alignment horizontal="left" vertical="center" wrapText="1"/>
    </xf>
    <xf numFmtId="49" fontId="8" fillId="14" borderId="4" xfId="0" applyNumberFormat="1" applyFont="1" applyFill="1" applyBorder="1" applyAlignment="1" applyProtection="1">
      <alignment horizontal="left" vertical="center" wrapText="1"/>
      <protection locked="0"/>
    </xf>
    <xf numFmtId="49" fontId="96" fillId="0" borderId="5" xfId="0" applyNumberFormat="1" applyFont="1" applyBorder="1" applyAlignment="1">
      <alignment horizontal="center" vertical="center" wrapText="1"/>
    </xf>
    <xf numFmtId="0" fontId="8" fillId="15" borderId="9" xfId="0" applyNumberFormat="1" applyFont="1" applyFill="1" applyBorder="1" applyAlignment="1">
      <alignment horizontal="left" vertical="center" wrapText="1"/>
    </xf>
    <xf numFmtId="0" fontId="8" fillId="15" borderId="28" xfId="0" applyNumberFormat="1" applyFont="1" applyFill="1" applyBorder="1" applyAlignment="1">
      <alignment horizontal="left" vertical="center" wrapText="1"/>
    </xf>
    <xf numFmtId="49" fontId="8" fillId="15" borderId="9" xfId="0" applyNumberFormat="1" applyFont="1" applyFill="1" applyBorder="1" applyAlignment="1">
      <alignment horizontal="left" vertical="center" wrapText="1"/>
    </xf>
    <xf numFmtId="49" fontId="8" fillId="15" borderId="15" xfId="0" applyNumberFormat="1" applyFont="1" applyFill="1" applyBorder="1" applyAlignment="1">
      <alignment horizontal="left" vertical="center" wrapText="1"/>
    </xf>
    <xf numFmtId="49" fontId="8" fillId="0" borderId="28" xfId="0" applyNumberFormat="1" applyFont="1" applyBorder="1" applyAlignment="1">
      <alignment horizontal="center" vertical="center"/>
    </xf>
    <xf numFmtId="0" fontId="8" fillId="0" borderId="16" xfId="0" applyNumberFormat="1" applyFont="1" applyBorder="1" applyAlignment="1">
      <alignment horizontal="center" vertical="center"/>
    </xf>
    <xf numFmtId="49" fontId="8" fillId="6" borderId="9" xfId="0" applyNumberFormat="1" applyFont="1" applyFill="1" applyBorder="1" applyAlignment="1" applyProtection="1">
      <alignment horizontal="left" vertical="center" wrapText="1"/>
      <protection locked="0"/>
    </xf>
    <xf numFmtId="0" fontId="33" fillId="13" borderId="7" xfId="0" applyNumberFormat="1" applyFont="1" applyFill="1" applyBorder="1" applyAlignment="1">
      <alignment horizontal="left" vertical="center"/>
    </xf>
    <xf numFmtId="0" fontId="33" fillId="13" borderId="5" xfId="0" applyNumberFormat="1" applyFont="1" applyFill="1" applyBorder="1" applyAlignment="1">
      <alignment horizontal="left" vertical="center"/>
    </xf>
    <xf numFmtId="0" fontId="33" fillId="13" borderId="11" xfId="0" applyNumberFormat="1" applyFont="1" applyFill="1" applyBorder="1" applyAlignment="1">
      <alignment horizontal="left" vertical="center"/>
    </xf>
    <xf numFmtId="0" fontId="33" fillId="13" borderId="12" xfId="0" applyNumberFormat="1" applyFont="1" applyFill="1" applyBorder="1" applyAlignment="1">
      <alignment horizontal="left" vertical="center"/>
    </xf>
    <xf numFmtId="49" fontId="8" fillId="14" borderId="9" xfId="0" applyNumberFormat="1" applyFont="1" applyFill="1" applyBorder="1" applyAlignment="1" applyProtection="1">
      <alignment horizontal="left" vertical="center" wrapText="1"/>
      <protection locked="0"/>
    </xf>
    <xf numFmtId="49" fontId="40" fillId="0" borderId="4" xfId="0" applyNumberFormat="1" applyFont="1" applyBorder="1" applyAlignment="1">
      <alignment horizontal="center" vertical="center" wrapText="1"/>
    </xf>
    <xf numFmtId="0" fontId="8" fillId="9" borderId="4" xfId="0" applyNumberFormat="1" applyFont="1" applyFill="1" applyBorder="1" applyAlignment="1">
      <alignment horizontal="center" vertical="center"/>
    </xf>
    <xf numFmtId="0" fontId="8" fillId="15" borderId="6" xfId="0" applyNumberFormat="1" applyFont="1" applyFill="1" applyBorder="1" applyAlignment="1">
      <alignment horizontal="left" vertical="center" wrapText="1"/>
    </xf>
    <xf numFmtId="0" fontId="8" fillId="15" borderId="7" xfId="0" applyNumberFormat="1" applyFont="1" applyFill="1" applyBorder="1" applyAlignment="1">
      <alignment horizontal="left" vertical="center" wrapText="1"/>
    </xf>
    <xf numFmtId="0" fontId="8" fillId="15" borderId="5" xfId="0" applyNumberFormat="1" applyFont="1" applyFill="1" applyBorder="1" applyAlignment="1">
      <alignment horizontal="left" vertical="center" wrapText="1"/>
    </xf>
    <xf numFmtId="0" fontId="0" fillId="9" borderId="4" xfId="33" applyFont="1" applyFill="1" applyBorder="1" applyAlignment="1">
      <alignment horizontal="right" vertical="center" wrapText="1" indent="1"/>
    </xf>
    <xf numFmtId="0" fontId="8" fillId="11" borderId="4" xfId="0" applyNumberFormat="1" applyFont="1" applyFill="1" applyBorder="1" applyAlignment="1">
      <alignment horizontal="left" vertical="center" wrapText="1" indent="1"/>
    </xf>
    <xf numFmtId="4" fontId="113" fillId="11" borderId="6" xfId="0" applyNumberFormat="1" applyFont="1" applyFill="1" applyBorder="1" applyAlignment="1">
      <alignment horizontal="left" vertical="center" wrapText="1"/>
    </xf>
    <xf numFmtId="4" fontId="113" fillId="11" borderId="7" xfId="0" applyNumberFormat="1" applyFont="1" applyFill="1" applyBorder="1" applyAlignment="1">
      <alignment horizontal="left" vertical="center" wrapText="1"/>
    </xf>
    <xf numFmtId="4" fontId="113" fillId="11" borderId="5" xfId="0" applyNumberFormat="1" applyFont="1" applyFill="1" applyBorder="1" applyAlignment="1">
      <alignment horizontal="left" vertical="center" wrapText="1"/>
    </xf>
    <xf numFmtId="49" fontId="39" fillId="0" borderId="4" xfId="0" applyNumberFormat="1" applyFont="1" applyBorder="1" applyAlignment="1">
      <alignment horizontal="center" vertical="center" wrapText="1"/>
    </xf>
    <xf numFmtId="170" fontId="39" fillId="0" borderId="4" xfId="0" applyNumberFormat="1" applyFont="1" applyBorder="1" applyAlignment="1">
      <alignment horizontal="center" vertical="center" wrapText="1"/>
    </xf>
    <xf numFmtId="0" fontId="8" fillId="0" borderId="0" xfId="0" applyNumberFormat="1" applyFont="1" applyAlignment="1">
      <alignment horizontal="left" vertical="top" wrapText="1"/>
    </xf>
    <xf numFmtId="0" fontId="39" fillId="0" borderId="4" xfId="0" applyNumberFormat="1" applyFont="1" applyBorder="1" applyAlignment="1">
      <alignment horizontal="center" vertical="center"/>
    </xf>
    <xf numFmtId="0" fontId="39" fillId="0" borderId="6" xfId="0" applyNumberFormat="1" applyFont="1" applyBorder="1" applyAlignment="1">
      <alignment horizontal="center" vertical="center"/>
    </xf>
    <xf numFmtId="0" fontId="39" fillId="0" borderId="4" xfId="0" applyNumberFormat="1" applyFont="1" applyBorder="1" applyAlignment="1">
      <alignment horizontal="center" vertical="center" wrapText="1"/>
    </xf>
    <xf numFmtId="0" fontId="39" fillId="0" borderId="6" xfId="0" applyNumberFormat="1" applyFont="1" applyBorder="1" applyAlignment="1">
      <alignment horizontal="center" vertical="center" wrapText="1"/>
    </xf>
    <xf numFmtId="170" fontId="0" fillId="14" borderId="4" xfId="0" applyNumberFormat="1" applyFont="1" applyFill="1" applyBorder="1" applyAlignment="1" applyProtection="1">
      <alignment horizontal="center" vertical="center" wrapText="1"/>
      <protection locked="0"/>
    </xf>
    <xf numFmtId="49" fontId="0" fillId="14" borderId="4" xfId="0" applyNumberFormat="1" applyFont="1" applyFill="1" applyBorder="1" applyAlignment="1" applyProtection="1">
      <alignment horizontal="center" vertical="center" wrapText="1"/>
      <protection locked="0"/>
    </xf>
    <xf numFmtId="170" fontId="0" fillId="14" borderId="9" xfId="0" applyNumberFormat="1" applyFont="1" applyFill="1" applyBorder="1" applyAlignment="1" applyProtection="1">
      <alignment horizontal="center" vertical="center" wrapText="1"/>
      <protection locked="0"/>
    </xf>
    <xf numFmtId="49" fontId="0" fillId="14" borderId="15" xfId="0" applyNumberFormat="1" applyFont="1" applyFill="1" applyBorder="1" applyAlignment="1" applyProtection="1">
      <alignment horizontal="center" vertical="center" wrapText="1"/>
      <protection locked="0"/>
    </xf>
    <xf numFmtId="0" fontId="39" fillId="0" borderId="9" xfId="0" applyNumberFormat="1" applyFont="1" applyBorder="1" applyAlignment="1">
      <alignment horizontal="center" vertical="center" wrapText="1"/>
    </xf>
    <xf numFmtId="0" fontId="39" fillId="0" borderId="15" xfId="0" applyNumberFormat="1" applyFont="1" applyBorder="1" applyAlignment="1">
      <alignment horizontal="center" vertical="center" wrapText="1"/>
    </xf>
    <xf numFmtId="0" fontId="70" fillId="9" borderId="11" xfId="0" applyNumberFormat="1" applyFont="1" applyFill="1" applyBorder="1" applyAlignment="1">
      <alignment horizontal="center" vertical="center" wrapText="1"/>
    </xf>
    <xf numFmtId="0" fontId="30" fillId="0" borderId="20" xfId="0" applyNumberFormat="1" applyFont="1" applyBorder="1" applyAlignment="1">
      <alignment horizontal="center" vertical="center" wrapText="1"/>
    </xf>
    <xf numFmtId="0" fontId="8" fillId="9" borderId="4" xfId="0" applyNumberFormat="1" applyFont="1" applyFill="1" applyBorder="1" applyAlignment="1">
      <alignment horizontal="left" vertical="center" wrapText="1"/>
    </xf>
    <xf numFmtId="0" fontId="0" fillId="9" borderId="6" xfId="0" applyNumberFormat="1" applyFont="1" applyFill="1" applyBorder="1" applyAlignment="1">
      <alignment horizontal="center" vertical="center" wrapText="1"/>
    </xf>
    <xf numFmtId="0" fontId="0" fillId="9" borderId="7" xfId="0" applyNumberFormat="1" applyFont="1" applyFill="1" applyBorder="1" applyAlignment="1">
      <alignment horizontal="center" vertical="center" wrapText="1"/>
    </xf>
    <xf numFmtId="0" fontId="0" fillId="9" borderId="5" xfId="0" applyNumberFormat="1" applyFont="1" applyFill="1" applyBorder="1" applyAlignment="1">
      <alignment horizontal="center" vertical="center" wrapText="1"/>
    </xf>
    <xf numFmtId="0" fontId="8" fillId="9" borderId="9" xfId="0" applyNumberFormat="1" applyFont="1" applyFill="1" applyBorder="1" applyAlignment="1">
      <alignment horizontal="center" vertical="center" wrapText="1"/>
    </xf>
    <xf numFmtId="0" fontId="8" fillId="9" borderId="28" xfId="0" applyNumberFormat="1" applyFont="1" applyFill="1" applyBorder="1" applyAlignment="1">
      <alignment horizontal="center" vertical="center" wrapText="1"/>
    </xf>
    <xf numFmtId="0" fontId="8" fillId="9" borderId="15" xfId="0" applyNumberFormat="1" applyFont="1" applyFill="1" applyBorder="1" applyAlignment="1">
      <alignment horizontal="center" vertical="center" wrapText="1"/>
    </xf>
    <xf numFmtId="49" fontId="33" fillId="13" borderId="9" xfId="0" applyNumberFormat="1" applyFont="1" applyFill="1" applyBorder="1" applyAlignment="1">
      <alignment horizontal="center" vertical="center" textRotation="90" wrapText="1"/>
    </xf>
    <xf numFmtId="49" fontId="33" fillId="13" borderId="28" xfId="0" applyNumberFormat="1" applyFont="1" applyFill="1" applyBorder="1" applyAlignment="1">
      <alignment horizontal="center" vertical="center" textRotation="90" wrapText="1"/>
    </xf>
    <xf numFmtId="49" fontId="33" fillId="13" borderId="15" xfId="0" applyNumberFormat="1" applyFont="1" applyFill="1" applyBorder="1" applyAlignment="1">
      <alignment horizontal="center" vertical="center" textRotation="90" wrapText="1"/>
    </xf>
    <xf numFmtId="0" fontId="38" fillId="0" borderId="9" xfId="0" applyNumberFormat="1" applyFont="1" applyBorder="1" applyAlignment="1">
      <alignment horizontal="left" vertical="top" wrapText="1"/>
    </xf>
    <xf numFmtId="0" fontId="38" fillId="0" borderId="28" xfId="0" applyNumberFormat="1" applyFont="1" applyBorder="1" applyAlignment="1">
      <alignment horizontal="left" vertical="top" wrapText="1"/>
    </xf>
    <xf numFmtId="0" fontId="38" fillId="0" borderId="15" xfId="0" applyNumberFormat="1" applyFont="1" applyBorder="1" applyAlignment="1">
      <alignment horizontal="left" vertical="top" wrapText="1"/>
    </xf>
    <xf numFmtId="0" fontId="40" fillId="0" borderId="9" xfId="0" applyNumberFormat="1" applyFont="1" applyBorder="1" applyAlignment="1">
      <alignment horizontal="center" vertical="center" wrapText="1"/>
    </xf>
    <xf numFmtId="0" fontId="40" fillId="0" borderId="15" xfId="0" applyNumberFormat="1" applyFont="1" applyBorder="1" applyAlignment="1">
      <alignment horizontal="center" vertical="center" wrapText="1"/>
    </xf>
    <xf numFmtId="0" fontId="0" fillId="9" borderId="11" xfId="0" applyNumberFormat="1" applyFont="1" applyFill="1" applyBorder="1" applyAlignment="1">
      <alignment horizontal="center" vertical="center" wrapText="1"/>
    </xf>
    <xf numFmtId="0" fontId="40" fillId="0" borderId="6" xfId="0" applyNumberFormat="1" applyFont="1" applyBorder="1" applyAlignment="1">
      <alignment horizontal="left" vertical="center" wrapText="1"/>
    </xf>
    <xf numFmtId="0" fontId="40" fillId="0" borderId="7" xfId="0" applyNumberFormat="1" applyFont="1" applyBorder="1" applyAlignment="1">
      <alignment horizontal="left" vertical="center" wrapText="1"/>
    </xf>
    <xf numFmtId="0" fontId="40" fillId="0" borderId="5" xfId="0" applyNumberFormat="1" applyFont="1" applyBorder="1" applyAlignment="1">
      <alignment horizontal="left" vertical="center" wrapText="1"/>
    </xf>
    <xf numFmtId="0" fontId="0" fillId="0" borderId="28" xfId="0" applyNumberFormat="1" applyFont="1" applyBorder="1" applyAlignment="1">
      <alignment horizontal="center" vertical="center" wrapText="1"/>
    </xf>
    <xf numFmtId="0" fontId="8" fillId="0" borderId="11" xfId="0" applyNumberFormat="1" applyFont="1" applyBorder="1" applyAlignment="1">
      <alignment horizontal="center" vertical="center" wrapText="1"/>
    </xf>
    <xf numFmtId="0" fontId="8" fillId="0" borderId="20" xfId="0" applyNumberFormat="1" applyFont="1" applyBorder="1" applyAlignment="1">
      <alignment horizontal="center" vertical="center" wrapText="1"/>
    </xf>
    <xf numFmtId="0" fontId="8" fillId="0" borderId="4" xfId="0" applyNumberFormat="1" applyFont="1" applyBorder="1" applyAlignment="1">
      <alignment horizontal="center" vertical="center"/>
    </xf>
    <xf numFmtId="0" fontId="8" fillId="0" borderId="6" xfId="0" applyNumberFormat="1" applyFont="1" applyBorder="1" applyAlignment="1">
      <alignment horizontal="center" vertical="center"/>
    </xf>
    <xf numFmtId="0" fontId="8" fillId="15" borderId="12" xfId="0" applyNumberFormat="1" applyFont="1" applyFill="1" applyBorder="1" applyAlignment="1">
      <alignment horizontal="left" vertical="center" wrapText="1"/>
    </xf>
    <xf numFmtId="49" fontId="8" fillId="0" borderId="4" xfId="0" applyNumberFormat="1" applyFont="1" applyBorder="1" applyAlignment="1">
      <alignment horizontal="left" vertical="center" wrapText="1" indent="1"/>
    </xf>
    <xf numFmtId="0" fontId="0" fillId="9" borderId="29" xfId="0" applyNumberFormat="1" applyFont="1" applyFill="1" applyBorder="1" applyAlignment="1">
      <alignment horizontal="center" vertical="center" wrapText="1"/>
    </xf>
    <xf numFmtId="0" fontId="0" fillId="9" borderId="12" xfId="0" applyNumberFormat="1" applyFont="1" applyFill="1" applyBorder="1" applyAlignment="1">
      <alignment horizontal="center" vertical="center" wrapText="1"/>
    </xf>
    <xf numFmtId="0" fontId="0" fillId="9" borderId="14" xfId="0" applyNumberFormat="1" applyFont="1" applyFill="1" applyBorder="1" applyAlignment="1">
      <alignment horizontal="center" vertical="center" wrapText="1"/>
    </xf>
    <xf numFmtId="0" fontId="0" fillId="9" borderId="0" xfId="0" applyNumberFormat="1" applyFont="1" applyFill="1" applyAlignment="1">
      <alignment horizontal="center" vertical="center" wrapText="1"/>
    </xf>
    <xf numFmtId="0" fontId="0" fillId="9" borderId="16" xfId="0" applyNumberFormat="1" applyFont="1" applyFill="1" applyBorder="1" applyAlignment="1">
      <alignment horizontal="center" vertical="center" wrapText="1"/>
    </xf>
    <xf numFmtId="0" fontId="0" fillId="9" borderId="19" xfId="0" applyNumberFormat="1" applyFont="1" applyFill="1" applyBorder="1" applyAlignment="1">
      <alignment horizontal="center" vertical="center" wrapText="1"/>
    </xf>
    <xf numFmtId="0" fontId="0" fillId="9" borderId="20" xfId="0" applyNumberFormat="1" applyFont="1" applyFill="1" applyBorder="1" applyAlignment="1">
      <alignment horizontal="center" vertical="center" wrapText="1"/>
    </xf>
    <xf numFmtId="0" fontId="0" fillId="9" borderId="22" xfId="0" applyNumberFormat="1" applyFont="1" applyFill="1" applyBorder="1" applyAlignment="1">
      <alignment horizontal="center" vertical="center" wrapText="1"/>
    </xf>
    <xf numFmtId="49" fontId="8" fillId="9" borderId="4" xfId="0" applyNumberFormat="1" applyFont="1" applyFill="1" applyBorder="1" applyAlignment="1">
      <alignment horizontal="center" vertical="center" wrapText="1"/>
    </xf>
    <xf numFmtId="0" fontId="30" fillId="0" borderId="4" xfId="0" applyNumberFormat="1" applyFont="1" applyBorder="1" applyAlignment="1">
      <alignment horizontal="center" vertical="center" wrapText="1"/>
    </xf>
    <xf numFmtId="49" fontId="8" fillId="14" borderId="9" xfId="0" applyNumberFormat="1" applyFont="1" applyFill="1" applyBorder="1" applyAlignment="1" applyProtection="1">
      <alignment horizontal="left" vertical="center" wrapText="1" indent="6"/>
      <protection locked="0"/>
    </xf>
    <xf numFmtId="49" fontId="8" fillId="14" borderId="28" xfId="0" applyNumberFormat="1" applyFont="1" applyFill="1" applyBorder="1" applyAlignment="1" applyProtection="1">
      <alignment horizontal="left" vertical="center" wrapText="1" indent="6"/>
      <protection locked="0"/>
    </xf>
    <xf numFmtId="49" fontId="8" fillId="14" borderId="15" xfId="0" applyNumberFormat="1" applyFont="1" applyFill="1" applyBorder="1" applyAlignment="1" applyProtection="1">
      <alignment horizontal="left" vertical="center" wrapText="1" indent="6"/>
      <protection locked="0"/>
    </xf>
    <xf numFmtId="0" fontId="8" fillId="9" borderId="9" xfId="0" applyNumberFormat="1" applyFont="1" applyFill="1" applyBorder="1" applyAlignment="1">
      <alignment horizontal="left" vertical="center" wrapText="1"/>
    </xf>
    <xf numFmtId="0" fontId="8" fillId="9" borderId="28" xfId="0" applyNumberFormat="1" applyFont="1" applyFill="1" applyBorder="1" applyAlignment="1">
      <alignment horizontal="left" vertical="center" wrapText="1"/>
    </xf>
    <xf numFmtId="0" fontId="8" fillId="9" borderId="15" xfId="0" applyNumberFormat="1" applyFont="1" applyFill="1" applyBorder="1" applyAlignment="1">
      <alignment horizontal="left" vertical="center" wrapText="1"/>
    </xf>
    <xf numFmtId="0" fontId="40" fillId="0" borderId="16" xfId="0" applyNumberFormat="1" applyFont="1" applyBorder="1" applyAlignment="1">
      <alignment horizontal="center" vertical="top" wrapText="1"/>
    </xf>
    <xf numFmtId="49" fontId="8" fillId="15" borderId="4" xfId="0" applyNumberFormat="1" applyFont="1" applyFill="1" applyBorder="1" applyAlignment="1">
      <alignment horizontal="left" vertical="center" wrapText="1" indent="1"/>
    </xf>
    <xf numFmtId="4" fontId="113" fillId="11" borderId="4" xfId="0" applyNumberFormat="1" applyFont="1" applyFill="1" applyBorder="1" applyAlignment="1">
      <alignment horizontal="left" vertical="center" wrapText="1"/>
    </xf>
    <xf numFmtId="0" fontId="8" fillId="15" borderId="4" xfId="0" applyNumberFormat="1" applyFont="1" applyFill="1" applyBorder="1" applyAlignment="1" applyProtection="1">
      <alignment horizontal="left" vertical="center" wrapText="1"/>
      <protection locked="0"/>
    </xf>
    <xf numFmtId="0" fontId="8" fillId="15" borderId="6" xfId="0" applyNumberFormat="1" applyFont="1" applyFill="1" applyBorder="1" applyAlignment="1" applyProtection="1">
      <alignment horizontal="left" vertical="center" wrapText="1"/>
      <protection locked="0"/>
    </xf>
    <xf numFmtId="0" fontId="8" fillId="15" borderId="7" xfId="0" applyNumberFormat="1" applyFont="1" applyFill="1" applyBorder="1" applyAlignment="1" applyProtection="1">
      <alignment horizontal="left" vertical="center" wrapText="1"/>
      <protection locked="0"/>
    </xf>
    <xf numFmtId="0" fontId="8" fillId="15" borderId="5" xfId="0" applyNumberFormat="1" applyFont="1" applyFill="1" applyBorder="1" applyAlignment="1" applyProtection="1">
      <alignment horizontal="left" vertical="center" wrapText="1"/>
      <protection locked="0"/>
    </xf>
    <xf numFmtId="0" fontId="8" fillId="0" borderId="0" xfId="0" applyNumberFormat="1" applyFont="1" applyAlignment="1">
      <alignment horizontal="right" vertical="center" wrapText="1"/>
    </xf>
    <xf numFmtId="0" fontId="29" fillId="9" borderId="0" xfId="0" applyNumberFormat="1" applyFont="1" applyFill="1" applyAlignment="1">
      <alignment horizontal="center" vertical="center" wrapText="1"/>
    </xf>
    <xf numFmtId="0" fontId="8" fillId="11" borderId="4" xfId="0" applyNumberFormat="1" applyFont="1" applyFill="1" applyBorder="1" applyAlignment="1">
      <alignment horizontal="left" vertical="center" wrapText="1"/>
    </xf>
    <xf numFmtId="0" fontId="72" fillId="0" borderId="0" xfId="0" applyNumberFormat="1" applyFont="1" applyAlignment="1">
      <alignment horizontal="center" vertical="center" wrapText="1"/>
    </xf>
    <xf numFmtId="49" fontId="33" fillId="13" borderId="4" xfId="0" applyNumberFormat="1" applyFont="1" applyFill="1" applyBorder="1" applyAlignment="1">
      <alignment horizontal="center" vertical="center" textRotation="90" wrapText="1"/>
    </xf>
    <xf numFmtId="0" fontId="7" fillId="0" borderId="7" xfId="0" applyNumberFormat="1" applyFont="1" applyBorder="1" applyAlignment="1">
      <alignment horizontal="left" vertical="center" wrapText="1" indent="1"/>
    </xf>
    <xf numFmtId="0" fontId="8" fillId="11" borderId="6" xfId="0" applyNumberFormat="1" applyFont="1" applyFill="1" applyBorder="1" applyAlignment="1">
      <alignment horizontal="left" vertical="center" wrapText="1" indent="1"/>
    </xf>
    <xf numFmtId="0" fontId="8" fillId="11" borderId="7" xfId="0" applyNumberFormat="1" applyFont="1" applyFill="1" applyBorder="1" applyAlignment="1">
      <alignment horizontal="left" vertical="center" wrapText="1" indent="1"/>
    </xf>
    <xf numFmtId="0" fontId="8" fillId="11" borderId="5" xfId="0" applyNumberFormat="1" applyFont="1" applyFill="1" applyBorder="1" applyAlignment="1">
      <alignment horizontal="left" vertical="center" wrapText="1" indent="1"/>
    </xf>
    <xf numFmtId="0" fontId="0" fillId="0" borderId="4" xfId="0" applyNumberFormat="1" applyFont="1" applyBorder="1" applyAlignment="1">
      <alignment horizontal="left" vertical="center" wrapText="1"/>
    </xf>
    <xf numFmtId="0" fontId="0" fillId="0" borderId="4" xfId="0" applyNumberFormat="1" applyFont="1" applyBorder="1" applyAlignment="1">
      <alignment horizontal="left" vertical="center" wrapText="1" indent="1"/>
    </xf>
    <xf numFmtId="0" fontId="8" fillId="11" borderId="6" xfId="0" applyNumberFormat="1" applyFont="1" applyFill="1" applyBorder="1" applyAlignment="1">
      <alignment horizontal="left" vertical="top" wrapText="1" indent="1"/>
    </xf>
    <xf numFmtId="0" fontId="8" fillId="11" borderId="5" xfId="0" applyNumberFormat="1" applyFont="1" applyFill="1" applyBorder="1" applyAlignment="1">
      <alignment horizontal="left" vertical="top" wrapText="1" indent="1"/>
    </xf>
    <xf numFmtId="0" fontId="8" fillId="0" borderId="7" xfId="0" applyNumberFormat="1" applyFont="1" applyBorder="1" applyAlignment="1">
      <alignment horizontal="right" vertical="center" wrapText="1" indent="1"/>
    </xf>
    <xf numFmtId="0" fontId="8" fillId="0" borderId="5" xfId="0" applyNumberFormat="1" applyFont="1" applyBorder="1" applyAlignment="1">
      <alignment horizontal="right" vertical="center" wrapText="1" indent="1"/>
    </xf>
    <xf numFmtId="0" fontId="8" fillId="0" borderId="6" xfId="0" applyNumberFormat="1" applyFont="1" applyBorder="1" applyAlignment="1">
      <alignment horizontal="right" vertical="center" wrapText="1"/>
    </xf>
    <xf numFmtId="0" fontId="8" fillId="0" borderId="7" xfId="0" applyNumberFormat="1" applyFont="1" applyBorder="1" applyAlignment="1">
      <alignment horizontal="right" vertical="center" wrapText="1"/>
    </xf>
    <xf numFmtId="0" fontId="8" fillId="0" borderId="11" xfId="0" applyNumberFormat="1" applyFont="1" applyBorder="1" applyAlignment="1">
      <alignment horizontal="left" vertical="center" wrapText="1" indent="1"/>
    </xf>
    <xf numFmtId="49" fontId="8" fillId="0" borderId="0" xfId="0" applyNumberFormat="1" applyFont="1" applyAlignment="1">
      <alignment vertical="center" wrapText="1"/>
    </xf>
    <xf numFmtId="0" fontId="30" fillId="0" borderId="16" xfId="0" applyNumberFormat="1" applyFont="1" applyBorder="1" applyAlignment="1">
      <alignment horizontal="center" vertical="center" wrapText="1"/>
    </xf>
    <xf numFmtId="0" fontId="8" fillId="9" borderId="6" xfId="0" applyNumberFormat="1" applyFont="1" applyFill="1" applyBorder="1" applyAlignment="1">
      <alignment horizontal="center" vertical="center" wrapText="1"/>
    </xf>
    <xf numFmtId="0" fontId="8" fillId="9" borderId="7" xfId="0" applyNumberFormat="1" applyFont="1" applyFill="1" applyBorder="1" applyAlignment="1">
      <alignment horizontal="center" vertical="center" wrapText="1"/>
    </xf>
    <xf numFmtId="0" fontId="8" fillId="9" borderId="5" xfId="0" applyNumberFormat="1" applyFont="1" applyFill="1" applyBorder="1" applyAlignment="1">
      <alignment horizontal="center" vertical="center" wrapText="1"/>
    </xf>
    <xf numFmtId="49" fontId="29" fillId="9" borderId="7" xfId="0" applyNumberFormat="1" applyFont="1" applyFill="1" applyBorder="1" applyAlignment="1">
      <alignment horizontal="center" vertical="center" wrapText="1"/>
    </xf>
    <xf numFmtId="0" fontId="0" fillId="0" borderId="28" xfId="0" applyNumberFormat="1" applyFont="1" applyBorder="1" applyAlignment="1">
      <alignment horizontal="left" vertical="center" wrapText="1"/>
    </xf>
    <xf numFmtId="0" fontId="0" fillId="0" borderId="15" xfId="0" applyNumberFormat="1" applyFont="1" applyBorder="1" applyAlignment="1">
      <alignment horizontal="left" vertical="center" wrapText="1"/>
    </xf>
    <xf numFmtId="0" fontId="32" fillId="9" borderId="16" xfId="0" applyNumberFormat="1" applyFont="1" applyFill="1" applyBorder="1" applyAlignment="1">
      <alignment horizontal="center" vertical="top" wrapText="1"/>
    </xf>
    <xf numFmtId="49" fontId="0" fillId="9" borderId="4" xfId="0" applyNumberFormat="1" applyFont="1" applyFill="1" applyBorder="1" applyAlignment="1">
      <alignment horizontal="center" vertical="center" wrapText="1"/>
    </xf>
    <xf numFmtId="0" fontId="116" fillId="11" borderId="4" xfId="0" applyNumberFormat="1" applyFont="1" applyFill="1" applyBorder="1" applyAlignment="1">
      <alignment horizontal="left" vertical="center" wrapText="1" indent="1"/>
    </xf>
    <xf numFmtId="49" fontId="0" fillId="9" borderId="9" xfId="0" applyNumberFormat="1" applyFont="1" applyFill="1" applyBorder="1" applyAlignment="1">
      <alignment horizontal="center" vertical="center" wrapText="1"/>
    </xf>
    <xf numFmtId="49" fontId="0" fillId="9" borderId="15" xfId="0" applyNumberFormat="1" applyFont="1" applyFill="1" applyBorder="1" applyAlignment="1">
      <alignment horizontal="center" vertical="center" wrapText="1"/>
    </xf>
    <xf numFmtId="0" fontId="8" fillId="6" borderId="6" xfId="0" applyNumberFormat="1" applyFont="1" applyFill="1" applyBorder="1" applyAlignment="1" applyProtection="1">
      <alignment horizontal="left" vertical="center" wrapText="1"/>
      <protection locked="0"/>
    </xf>
    <xf numFmtId="0" fontId="8" fillId="6" borderId="7" xfId="0" applyNumberFormat="1" applyFont="1" applyFill="1" applyBorder="1" applyAlignment="1" applyProtection="1">
      <alignment horizontal="left" vertical="center" wrapText="1"/>
      <protection locked="0"/>
    </xf>
    <xf numFmtId="0" fontId="8" fillId="6" borderId="5" xfId="0" applyNumberFormat="1" applyFont="1" applyFill="1" applyBorder="1" applyAlignment="1" applyProtection="1">
      <alignment horizontal="left" vertical="center" wrapText="1"/>
      <protection locked="0"/>
    </xf>
    <xf numFmtId="49" fontId="8" fillId="6" borderId="6" xfId="0" applyNumberFormat="1" applyFont="1" applyFill="1" applyBorder="1" applyAlignment="1" applyProtection="1">
      <alignment horizontal="left" vertical="center" wrapText="1"/>
      <protection locked="0"/>
    </xf>
    <xf numFmtId="49" fontId="8" fillId="6" borderId="7" xfId="0" applyNumberFormat="1" applyFont="1" applyFill="1" applyBorder="1" applyAlignment="1" applyProtection="1">
      <alignment horizontal="left" vertical="center" wrapText="1"/>
      <protection locked="0"/>
    </xf>
    <xf numFmtId="49" fontId="8" fillId="6" borderId="5" xfId="0" applyNumberFormat="1" applyFont="1" applyFill="1" applyBorder="1" applyAlignment="1" applyProtection="1">
      <alignment horizontal="left" vertical="center" wrapText="1"/>
      <protection locked="0"/>
    </xf>
    <xf numFmtId="0" fontId="38" fillId="0" borderId="4" xfId="0" applyNumberFormat="1" applyFont="1" applyBorder="1" applyAlignment="1">
      <alignment horizontal="left" vertical="top" wrapText="1"/>
    </xf>
    <xf numFmtId="49" fontId="8" fillId="15" borderId="4" xfId="0" applyNumberFormat="1" applyFont="1" applyFill="1" applyBorder="1" applyAlignment="1" applyProtection="1">
      <alignment horizontal="left" vertical="center" wrapText="1" indent="1"/>
      <protection locked="0"/>
    </xf>
    <xf numFmtId="4" fontId="8" fillId="14" borderId="4" xfId="0" applyNumberFormat="1" applyFont="1" applyFill="1" applyBorder="1" applyAlignment="1" applyProtection="1">
      <alignment horizontal="left" vertical="center" wrapText="1" indent="1"/>
      <protection locked="0"/>
    </xf>
    <xf numFmtId="49" fontId="8" fillId="6" borderId="9" xfId="0" applyNumberFormat="1" applyFont="1" applyFill="1" applyBorder="1" applyAlignment="1" applyProtection="1">
      <alignment horizontal="left" vertical="center" wrapText="1" indent="6"/>
      <protection locked="0"/>
    </xf>
    <xf numFmtId="49" fontId="8" fillId="6" borderId="28" xfId="0" applyNumberFormat="1" applyFont="1" applyFill="1" applyBorder="1" applyAlignment="1" applyProtection="1">
      <alignment horizontal="left" vertical="center" wrapText="1" indent="6"/>
      <protection locked="0"/>
    </xf>
    <xf numFmtId="49" fontId="8" fillId="6" borderId="15" xfId="0" applyNumberFormat="1" applyFont="1" applyFill="1" applyBorder="1" applyAlignment="1" applyProtection="1">
      <alignment horizontal="left" vertical="center" wrapText="1" indent="6"/>
      <protection locked="0"/>
    </xf>
    <xf numFmtId="4" fontId="8" fillId="14" borderId="4" xfId="0" applyNumberFormat="1" applyFont="1" applyFill="1" applyBorder="1" applyAlignment="1" applyProtection="1">
      <alignment horizontal="center" vertical="center" wrapText="1"/>
      <protection locked="0"/>
    </xf>
    <xf numFmtId="49" fontId="8" fillId="15" borderId="12" xfId="0" applyNumberFormat="1" applyFont="1" applyFill="1" applyBorder="1" applyAlignment="1">
      <alignment horizontal="center" vertical="center" wrapText="1"/>
    </xf>
    <xf numFmtId="49" fontId="8" fillId="15" borderId="22" xfId="0" applyNumberFormat="1" applyFont="1" applyFill="1" applyBorder="1" applyAlignment="1">
      <alignment horizontal="center" vertical="center" wrapText="1"/>
    </xf>
    <xf numFmtId="0" fontId="40" fillId="0" borderId="11" xfId="0" applyNumberFormat="1" applyFont="1" applyBorder="1" applyAlignment="1">
      <alignment horizontal="left" vertical="center" wrapText="1"/>
    </xf>
    <xf numFmtId="49" fontId="81" fillId="20" borderId="0" xfId="0" applyNumberFormat="1" applyFont="1" applyFill="1" applyAlignment="1">
      <alignment horizontal="center" vertical="center" textRotation="90" wrapText="1"/>
    </xf>
    <xf numFmtId="49" fontId="81" fillId="0" borderId="0" xfId="0" applyNumberFormat="1" applyFont="1" applyAlignment="1">
      <alignment horizontal="center" vertical="center" wrapText="1"/>
    </xf>
    <xf numFmtId="0" fontId="40" fillId="0" borderId="0" xfId="0" applyNumberFormat="1" applyFont="1" applyAlignment="1">
      <alignment vertical="center" wrapText="1"/>
    </xf>
    <xf numFmtId="0" fontId="63" fillId="0" borderId="0" xfId="0" applyNumberFormat="1" applyFont="1" applyAlignment="1">
      <alignment horizontal="center" vertical="center" wrapText="1"/>
    </xf>
    <xf numFmtId="49" fontId="40" fillId="0" borderId="9" xfId="0" applyNumberFormat="1" applyFont="1" applyBorder="1" applyAlignment="1">
      <alignment horizontal="center" vertical="center" wrapText="1"/>
    </xf>
    <xf numFmtId="49" fontId="40" fillId="0" borderId="28" xfId="0" applyNumberFormat="1" applyFont="1" applyBorder="1" applyAlignment="1">
      <alignment horizontal="center" vertical="center" wrapText="1"/>
    </xf>
    <xf numFmtId="49" fontId="40" fillId="0" borderId="15" xfId="0" applyNumberFormat="1" applyFont="1" applyBorder="1" applyAlignment="1">
      <alignment horizontal="center" vertical="center" wrapText="1"/>
    </xf>
    <xf numFmtId="0" fontId="38" fillId="0" borderId="0" xfId="0" applyNumberFormat="1" applyFont="1" applyAlignment="1">
      <alignment horizontal="left" vertical="top" wrapText="1"/>
    </xf>
    <xf numFmtId="0" fontId="40" fillId="0" borderId="7" xfId="0" applyNumberFormat="1" applyFont="1" applyBorder="1" applyAlignment="1">
      <alignment horizontal="right" vertical="center" wrapText="1" indent="1"/>
    </xf>
    <xf numFmtId="0" fontId="40" fillId="0" borderId="5" xfId="0" applyNumberFormat="1" applyFont="1" applyBorder="1" applyAlignment="1">
      <alignment horizontal="right" vertical="center" wrapText="1" indent="1"/>
    </xf>
    <xf numFmtId="0" fontId="8" fillId="11" borderId="6" xfId="0" applyNumberFormat="1" applyFont="1" applyFill="1" applyBorder="1" applyAlignment="1">
      <alignment horizontal="left" vertical="top" wrapText="1"/>
    </xf>
    <xf numFmtId="0" fontId="8" fillId="11" borderId="5" xfId="0" applyNumberFormat="1" applyFont="1" applyFill="1" applyBorder="1" applyAlignment="1">
      <alignment horizontal="left" vertical="top" wrapText="1"/>
    </xf>
    <xf numFmtId="49" fontId="8" fillId="28" borderId="0" xfId="0" applyNumberFormat="1" applyFont="1" applyFill="1" applyAlignment="1">
      <alignment horizontal="center" vertical="center" textRotation="90" wrapText="1"/>
    </xf>
    <xf numFmtId="49" fontId="0" fillId="0" borderId="4" xfId="0" applyNumberFormat="1" applyFont="1" applyBorder="1" applyAlignment="1">
      <alignment horizontal="center" vertical="center" wrapText="1"/>
    </xf>
    <xf numFmtId="49" fontId="8" fillId="0" borderId="6" xfId="0" applyNumberFormat="1" applyFont="1" applyBorder="1" applyAlignment="1">
      <alignment horizontal="center" vertical="center" wrapText="1"/>
    </xf>
    <xf numFmtId="0" fontId="8" fillId="9" borderId="4" xfId="33" applyFont="1" applyFill="1" applyBorder="1" applyAlignment="1">
      <alignment horizontal="center" vertical="center" wrapText="1"/>
    </xf>
    <xf numFmtId="49" fontId="8" fillId="0" borderId="4"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8" fillId="0" borderId="16" xfId="0" applyNumberFormat="1" applyFont="1" applyBorder="1" applyAlignment="1">
      <alignment vertical="top" wrapText="1"/>
    </xf>
    <xf numFmtId="0" fontId="8" fillId="0" borderId="0" xfId="0" applyNumberFormat="1" applyFont="1" applyAlignment="1">
      <alignment horizontal="left" vertical="center" wrapText="1"/>
    </xf>
    <xf numFmtId="0" fontId="8" fillId="9" borderId="29" xfId="0" applyNumberFormat="1" applyFont="1" applyFill="1" applyBorder="1" applyAlignment="1">
      <alignment horizontal="center" vertical="center" wrapText="1"/>
    </xf>
    <xf numFmtId="0" fontId="8" fillId="9" borderId="12" xfId="0" applyNumberFormat="1" applyFont="1" applyFill="1" applyBorder="1" applyAlignment="1">
      <alignment horizontal="center" vertical="center" wrapText="1"/>
    </xf>
    <xf numFmtId="0" fontId="8" fillId="9" borderId="14" xfId="0" applyNumberFormat="1" applyFont="1" applyFill="1" applyBorder="1" applyAlignment="1">
      <alignment horizontal="center" vertical="center" wrapText="1"/>
    </xf>
    <xf numFmtId="0" fontId="8" fillId="9" borderId="19" xfId="0" applyNumberFormat="1" applyFont="1" applyFill="1" applyBorder="1" applyAlignment="1">
      <alignment horizontal="center" vertical="center" wrapText="1"/>
    </xf>
    <xf numFmtId="0" fontId="8" fillId="9" borderId="22" xfId="0" applyNumberFormat="1" applyFont="1" applyFill="1" applyBorder="1" applyAlignment="1">
      <alignment horizontal="center" vertical="center" wrapText="1"/>
    </xf>
    <xf numFmtId="0" fontId="8" fillId="0" borderId="54" xfId="0" applyNumberFormat="1" applyFont="1" applyBorder="1" applyAlignment="1">
      <alignment horizontal="center" vertical="center"/>
    </xf>
    <xf numFmtId="0" fontId="8" fillId="0" borderId="55" xfId="0" applyNumberFormat="1" applyFont="1" applyBorder="1" applyAlignment="1">
      <alignment horizontal="center" vertical="center"/>
    </xf>
    <xf numFmtId="0" fontId="8" fillId="0" borderId="61" xfId="0" applyNumberFormat="1" applyFont="1" applyBorder="1" applyAlignment="1">
      <alignment horizontal="center" vertical="center"/>
    </xf>
    <xf numFmtId="49" fontId="0" fillId="11" borderId="28" xfId="0" applyNumberFormat="1" applyFont="1" applyFill="1" applyBorder="1">
      <alignment vertical="top"/>
    </xf>
    <xf numFmtId="49" fontId="0" fillId="0" borderId="0" xfId="0" applyNumberFormat="1" applyFont="1">
      <alignment vertical="top"/>
    </xf>
    <xf numFmtId="49" fontId="8" fillId="9" borderId="4" xfId="0" applyNumberFormat="1" applyFont="1" applyFill="1" applyBorder="1" applyAlignment="1">
      <alignment horizontal="left" vertical="center" wrapText="1"/>
    </xf>
    <xf numFmtId="49" fontId="0" fillId="14" borderId="28" xfId="0" applyNumberFormat="1" applyFont="1" applyFill="1" applyBorder="1" applyProtection="1">
      <alignment vertical="top"/>
      <protection locked="0"/>
    </xf>
    <xf numFmtId="14" fontId="8" fillId="15" borderId="28" xfId="0" applyNumberFormat="1" applyFont="1" applyFill="1" applyBorder="1" applyAlignment="1">
      <alignment horizontal="left" vertical="center" wrapText="1" indent="1"/>
    </xf>
    <xf numFmtId="49" fontId="0" fillId="0" borderId="28" xfId="0" applyNumberFormat="1" applyFont="1" applyBorder="1">
      <alignment vertical="top"/>
    </xf>
    <xf numFmtId="0" fontId="8" fillId="0" borderId="67" xfId="0" applyNumberFormat="1" applyFont="1" applyBorder="1" applyAlignment="1">
      <alignment horizontal="center" vertical="center"/>
    </xf>
    <xf numFmtId="0" fontId="8" fillId="0" borderId="35" xfId="0" applyNumberFormat="1" applyFont="1" applyBorder="1" applyAlignment="1">
      <alignment horizontal="center" vertical="center"/>
    </xf>
    <xf numFmtId="49" fontId="0" fillId="0" borderId="4" xfId="0" applyNumberFormat="1" applyFont="1" applyBorder="1" applyAlignment="1">
      <alignment vertical="center" wrapText="1"/>
    </xf>
    <xf numFmtId="49" fontId="0" fillId="0" borderId="4" xfId="0" applyNumberFormat="1" applyFont="1" applyBorder="1" applyAlignment="1">
      <alignment horizontal="left" vertical="center" wrapText="1"/>
    </xf>
    <xf numFmtId="49" fontId="0" fillId="0" borderId="9" xfId="0" applyNumberFormat="1" applyFont="1" applyBorder="1" applyAlignment="1">
      <alignment horizontal="center" vertical="center" wrapText="1"/>
    </xf>
    <xf numFmtId="49" fontId="0" fillId="0" borderId="28" xfId="0" applyNumberFormat="1" applyFont="1" applyBorder="1" applyAlignment="1">
      <alignment horizontal="center" vertical="center" wrapText="1"/>
    </xf>
    <xf numFmtId="49" fontId="0" fillId="0" borderId="15" xfId="0" applyNumberFormat="1" applyFont="1" applyBorder="1" applyAlignment="1">
      <alignment horizontal="center" vertical="center" wrapText="1"/>
    </xf>
    <xf numFmtId="0" fontId="0" fillId="11" borderId="4" xfId="0" applyNumberFormat="1" applyFont="1" applyFill="1" applyBorder="1" applyAlignment="1">
      <alignment horizontal="center" vertical="center" wrapText="1"/>
    </xf>
    <xf numFmtId="49" fontId="0" fillId="0" borderId="4" xfId="0" applyNumberFormat="1" applyFont="1" applyBorder="1" applyAlignment="1">
      <alignment horizontal="center" vertical="center"/>
    </xf>
    <xf numFmtId="0" fontId="8" fillId="7" borderId="4" xfId="0" applyNumberFormat="1" applyFont="1" applyFill="1" applyBorder="1" applyAlignment="1">
      <alignment horizontal="center" vertical="center" wrapText="1"/>
    </xf>
    <xf numFmtId="0" fontId="8" fillId="7" borderId="6" xfId="0" applyNumberFormat="1" applyFont="1" applyFill="1" applyBorder="1" applyAlignment="1">
      <alignment horizontal="center" vertical="center" wrapText="1"/>
    </xf>
    <xf numFmtId="49" fontId="8" fillId="25" borderId="6" xfId="0" applyNumberFormat="1" applyFont="1" applyFill="1" applyBorder="1" applyAlignment="1">
      <alignment horizontal="center" vertical="center" wrapText="1"/>
    </xf>
    <xf numFmtId="49" fontId="8" fillId="25" borderId="7" xfId="0" applyNumberFormat="1" applyFont="1" applyFill="1" applyBorder="1" applyAlignment="1">
      <alignment horizontal="center" vertical="center" wrapText="1"/>
    </xf>
    <xf numFmtId="49" fontId="8" fillId="7" borderId="11" xfId="0" applyNumberFormat="1" applyFont="1" applyFill="1" applyBorder="1" applyAlignment="1">
      <alignment horizontal="center" vertical="center" wrapText="1"/>
    </xf>
    <xf numFmtId="49" fontId="8" fillId="7" borderId="0" xfId="0" applyNumberFormat="1" applyFont="1" applyFill="1" applyAlignment="1">
      <alignment horizontal="center" vertical="center" wrapText="1"/>
    </xf>
    <xf numFmtId="49" fontId="8" fillId="7" borderId="20" xfId="0" applyNumberFormat="1" applyFont="1" applyFill="1" applyBorder="1" applyAlignment="1">
      <alignment horizontal="center" vertical="center" wrapText="1"/>
    </xf>
    <xf numFmtId="0" fontId="8" fillId="7" borderId="5" xfId="0" applyNumberFormat="1" applyFont="1" applyFill="1" applyBorder="1" applyAlignment="1">
      <alignment horizontal="center" vertical="center" wrapText="1"/>
    </xf>
    <xf numFmtId="0" fontId="8" fillId="23" borderId="6" xfId="0" applyNumberFormat="1" applyFont="1" applyFill="1" applyBorder="1" applyAlignment="1">
      <alignment horizontal="center" vertical="center" wrapText="1"/>
    </xf>
    <xf numFmtId="0" fontId="8" fillId="23" borderId="7" xfId="0" applyNumberFormat="1" applyFont="1" applyFill="1" applyBorder="1" applyAlignment="1">
      <alignment horizontal="center" vertical="center" wrapText="1"/>
    </xf>
    <xf numFmtId="0" fontId="8" fillId="23" borderId="5" xfId="0" applyNumberFormat="1" applyFont="1" applyFill="1" applyBorder="1" applyAlignment="1">
      <alignment horizontal="center" vertical="center" wrapText="1"/>
    </xf>
    <xf numFmtId="49" fontId="39" fillId="21" borderId="6" xfId="0" applyNumberFormat="1" applyFont="1" applyFill="1" applyBorder="1" applyAlignment="1">
      <alignment horizontal="center" vertical="center" wrapText="1"/>
    </xf>
    <xf numFmtId="49" fontId="39" fillId="21" borderId="7" xfId="0" applyNumberFormat="1" applyFont="1" applyFill="1" applyBorder="1" applyAlignment="1">
      <alignment horizontal="center" vertical="center" wrapText="1"/>
    </xf>
    <xf numFmtId="49" fontId="39" fillId="21" borderId="5" xfId="0" applyNumberFormat="1" applyFont="1" applyFill="1" applyBorder="1" applyAlignment="1">
      <alignment horizontal="center" vertical="center" wrapText="1"/>
    </xf>
    <xf numFmtId="49" fontId="39" fillId="24" borderId="6" xfId="0" applyNumberFormat="1" applyFont="1" applyFill="1" applyBorder="1" applyAlignment="1">
      <alignment horizontal="center" vertical="center" wrapText="1"/>
    </xf>
    <xf numFmtId="49" fontId="39" fillId="24" borderId="7" xfId="0" applyNumberFormat="1" applyFont="1" applyFill="1" applyBorder="1" applyAlignment="1">
      <alignment horizontal="center" vertical="center" wrapText="1"/>
    </xf>
    <xf numFmtId="49" fontId="39" fillId="24" borderId="5" xfId="0" applyNumberFormat="1" applyFont="1" applyFill="1" applyBorder="1" applyAlignment="1">
      <alignment horizontal="center" vertical="center" wrapText="1"/>
    </xf>
    <xf numFmtId="49" fontId="8" fillId="7" borderId="4" xfId="0" applyNumberFormat="1" applyFont="1" applyFill="1" applyBorder="1" applyAlignment="1">
      <alignment horizontal="center" vertical="center" wrapText="1"/>
    </xf>
    <xf numFmtId="49" fontId="8" fillId="0" borderId="7" xfId="0" applyNumberFormat="1" applyFont="1" applyBorder="1" applyAlignment="1">
      <alignment horizontal="center" vertical="center" wrapText="1"/>
    </xf>
    <xf numFmtId="49" fontId="8" fillId="0" borderId="0" xfId="0" applyNumberFormat="1" applyFont="1" applyAlignment="1">
      <alignment horizontal="left" vertical="top" wrapText="1"/>
    </xf>
    <xf numFmtId="0" fontId="8" fillId="0" borderId="5" xfId="0" applyNumberFormat="1" applyFont="1" applyBorder="1" applyAlignment="1">
      <alignment horizontal="left" vertical="center" wrapText="1" indent="1"/>
    </xf>
    <xf numFmtId="0" fontId="8" fillId="0" borderId="6" xfId="0" applyNumberFormat="1" applyFont="1" applyBorder="1" applyAlignment="1">
      <alignment horizontal="left" vertical="center" wrapText="1" indent="1"/>
    </xf>
    <xf numFmtId="0" fontId="0" fillId="9" borderId="9" xfId="0" applyNumberFormat="1" applyFont="1" applyFill="1" applyBorder="1" applyAlignment="1">
      <alignment horizontal="left" vertical="top" wrapText="1"/>
    </xf>
    <xf numFmtId="0" fontId="0" fillId="9" borderId="28" xfId="0" applyNumberFormat="1" applyFont="1" applyFill="1" applyBorder="1" applyAlignment="1">
      <alignment horizontal="left" vertical="top" wrapText="1"/>
    </xf>
    <xf numFmtId="0" fontId="0" fillId="9" borderId="15" xfId="0" applyNumberFormat="1" applyFont="1" applyFill="1" applyBorder="1" applyAlignment="1">
      <alignment horizontal="left" vertical="top" wrapText="1"/>
    </xf>
    <xf numFmtId="4" fontId="8" fillId="0" borderId="9" xfId="0" applyNumberFormat="1" applyFont="1" applyBorder="1" applyAlignment="1">
      <alignment horizontal="center" vertical="center" wrapText="1"/>
    </xf>
    <xf numFmtId="4" fontId="8" fillId="0" borderId="15" xfId="0" applyNumberFormat="1" applyFont="1" applyBorder="1" applyAlignment="1">
      <alignment horizontal="center" vertical="center" wrapText="1"/>
    </xf>
    <xf numFmtId="49" fontId="8" fillId="0" borderId="12" xfId="0" applyNumberFormat="1" applyFont="1" applyBorder="1" applyAlignment="1">
      <alignment horizontal="left" vertical="top" wrapText="1"/>
    </xf>
    <xf numFmtId="49" fontId="8" fillId="0" borderId="22" xfId="0" applyNumberFormat="1" applyFont="1" applyBorder="1" applyAlignment="1">
      <alignment horizontal="left" vertical="top" wrapText="1"/>
    </xf>
    <xf numFmtId="4" fontId="8" fillId="0" borderId="28" xfId="0" applyNumberFormat="1" applyFont="1" applyBorder="1" applyAlignment="1">
      <alignment horizontal="center" vertical="center" wrapText="1"/>
    </xf>
    <xf numFmtId="171" fontId="8" fillId="0" borderId="9" xfId="0" applyNumberFormat="1" applyFont="1" applyBorder="1" applyAlignment="1">
      <alignment horizontal="center" vertical="center" wrapText="1"/>
    </xf>
    <xf numFmtId="171" fontId="8" fillId="0" borderId="15" xfId="0" applyNumberFormat="1" applyFont="1" applyBorder="1" applyAlignment="1">
      <alignment horizontal="center" vertical="center" wrapText="1"/>
    </xf>
    <xf numFmtId="171" fontId="8" fillId="0" borderId="6" xfId="0" applyNumberFormat="1" applyFont="1" applyBorder="1" applyAlignment="1">
      <alignment horizontal="center" vertical="center" wrapText="1"/>
    </xf>
    <xf numFmtId="171" fontId="8" fillId="0" borderId="7" xfId="0" applyNumberFormat="1" applyFont="1" applyBorder="1" applyAlignment="1">
      <alignment horizontal="center" vertical="center" wrapText="1"/>
    </xf>
    <xf numFmtId="171" fontId="8" fillId="0" borderId="5" xfId="0" applyNumberFormat="1" applyFont="1" applyBorder="1" applyAlignment="1">
      <alignment horizontal="center" vertical="center" wrapText="1"/>
    </xf>
    <xf numFmtId="14" fontId="8" fillId="15" borderId="4" xfId="0" applyNumberFormat="1" applyFont="1" applyFill="1" applyBorder="1" applyAlignment="1">
      <alignment horizontal="left" vertical="center" wrapText="1"/>
    </xf>
    <xf numFmtId="49" fontId="8" fillId="15" borderId="6" xfId="0" applyNumberFormat="1" applyFont="1" applyFill="1" applyBorder="1" applyAlignment="1">
      <alignment horizontal="left" vertical="center" wrapText="1"/>
    </xf>
    <xf numFmtId="0" fontId="8" fillId="11" borderId="15" xfId="0" applyNumberFormat="1" applyFont="1" applyFill="1" applyBorder="1" applyAlignment="1">
      <alignment horizontal="left" vertical="center" wrapText="1"/>
    </xf>
    <xf numFmtId="14" fontId="8" fillId="15" borderId="15" xfId="0" applyNumberFormat="1" applyFont="1" applyFill="1" applyBorder="1" applyAlignment="1">
      <alignment horizontal="left" vertical="center" wrapText="1"/>
    </xf>
    <xf numFmtId="171" fontId="8" fillId="0" borderId="4" xfId="0" applyNumberFormat="1" applyFont="1" applyBorder="1" applyAlignment="1">
      <alignment horizontal="center" vertical="center" wrapText="1"/>
    </xf>
    <xf numFmtId="171" fontId="38" fillId="0" borderId="49" xfId="0" applyNumberFormat="1" applyFont="1" applyBorder="1" applyAlignment="1">
      <alignment horizontal="center" vertical="center" wrapText="1"/>
    </xf>
    <xf numFmtId="171" fontId="38" fillId="0" borderId="43" xfId="0" applyNumberFormat="1" applyFont="1" applyBorder="1" applyAlignment="1">
      <alignment horizontal="center" vertical="center" wrapText="1"/>
    </xf>
    <xf numFmtId="171" fontId="38" fillId="0" borderId="68" xfId="0" applyNumberFormat="1" applyFont="1" applyBorder="1" applyAlignment="1">
      <alignment horizontal="center" vertical="center" wrapText="1"/>
    </xf>
    <xf numFmtId="49" fontId="8" fillId="15" borderId="19" xfId="0" applyNumberFormat="1" applyFont="1" applyFill="1" applyBorder="1" applyAlignment="1">
      <alignment horizontal="left" vertical="center" wrapText="1"/>
    </xf>
    <xf numFmtId="49" fontId="0" fillId="0" borderId="7" xfId="0" applyNumberFormat="1" applyFont="1" applyBorder="1" applyAlignment="1">
      <alignment horizontal="left" vertical="center" indent="1"/>
    </xf>
    <xf numFmtId="49" fontId="0" fillId="0" borderId="4" xfId="0" applyNumberFormat="1" applyFont="1" applyBorder="1" applyAlignment="1">
      <alignment horizontal="center" vertical="top"/>
    </xf>
    <xf numFmtId="49" fontId="0" fillId="0" borderId="6" xfId="0" applyNumberFormat="1" applyFont="1" applyBorder="1" applyAlignment="1">
      <alignment horizontal="center" vertical="top"/>
    </xf>
  </cellXfs>
  <cellStyles count="214">
    <cellStyle name=" 1" xfId="2"/>
    <cellStyle name=" 1 2" xfId="3"/>
    <cellStyle name=" 1 2 2" xfId="3"/>
    <cellStyle name=" 1 3" xfId="2"/>
    <cellStyle name=" 1_Stage1" xfId="2"/>
    <cellStyle name="_Model_RAB Мой_PR.PROG.WARM.NOTCOMBI.2012.2.16_v1.4(04.04.11) " xfId="4"/>
    <cellStyle name="_Model_RAB Мой_PR.PROG.WARM.NOTCOMBI.2012.2.16_v1.4(04.04.11)  2" xfId="4"/>
    <cellStyle name="_Model_RAB Мой_Книга2_PR.PROG.WARM.NOTCOMBI.2012.2.16_v1.4(04.04.11) " xfId="4"/>
    <cellStyle name="_Model_RAB Мой_Книга2_PR.PROG.WARM.NOTCOMBI.2012.2.16_v1.4(04.04.11)  2" xfId="4"/>
    <cellStyle name="_Model_RAB_MRSK_svod_PR.PROG.WARM.NOTCOMBI.2012.2.16_v1.4(04.04.11) " xfId="4"/>
    <cellStyle name="_Model_RAB_MRSK_svod_PR.PROG.WARM.NOTCOMBI.2012.2.16_v1.4(04.04.11)  2" xfId="4"/>
    <cellStyle name="_Model_RAB_MRSK_svod_Книга2_PR.PROG.WARM.NOTCOMBI.2012.2.16_v1.4(04.04.11) " xfId="4"/>
    <cellStyle name="_Model_RAB_MRSK_svod_Книга2_PR.PROG.WARM.NOTCOMBI.2012.2.16_v1.4(04.04.11)  2" xfId="4"/>
    <cellStyle name="_МОДЕЛЬ_1 (2)_PR.PROG.WARM.NOTCOMBI.2012.2.16_v1.4(04.04.11) " xfId="4"/>
    <cellStyle name="_МОДЕЛЬ_1 (2)_PR.PROG.WARM.NOTCOMBI.2012.2.16_v1.4(04.04.11)  2" xfId="4"/>
    <cellStyle name="_МОДЕЛЬ_1 (2)_Книга2_PR.PROG.WARM.NOTCOMBI.2012.2.16_v1.4(04.04.11) " xfId="4"/>
    <cellStyle name="_МОДЕЛЬ_1 (2)_Книга2_PR.PROG.WARM.NOTCOMBI.2012.2.16_v1.4(04.04.11)  2" xfId="4"/>
    <cellStyle name="_пр 5 тариф RAB_PR.PROG.WARM.NOTCOMBI.2012.2.16_v1.4(04.04.11) " xfId="4"/>
    <cellStyle name="_пр 5 тариф RAB_PR.PROG.WARM.NOTCOMBI.2012.2.16_v1.4(04.04.11)  2" xfId="4"/>
    <cellStyle name="_пр 5 тариф RAB_Книга2_PR.PROG.WARM.NOTCOMBI.2012.2.16_v1.4(04.04.11) " xfId="4"/>
    <cellStyle name="_пр 5 тариф RAB_Книга2_PR.PROG.WARM.NOTCOMBI.2012.2.16_v1.4(04.04.11)  2" xfId="4"/>
    <cellStyle name="_Расчет RAB_22072008_PR.PROG.WARM.NOTCOMBI.2012.2.16_v1.4(04.04.11) " xfId="4"/>
    <cellStyle name="_Расчет RAB_22072008_PR.PROG.WARM.NOTCOMBI.2012.2.16_v1.4(04.04.11)  2" xfId="4"/>
    <cellStyle name="_Расчет RAB_22072008_Книга2_PR.PROG.WARM.NOTCOMBI.2012.2.16_v1.4(04.04.11) " xfId="4"/>
    <cellStyle name="_Расчет RAB_22072008_Книга2_PR.PROG.WARM.NOTCOMBI.2012.2.16_v1.4(04.04.11)  2"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PR.PROG.WARM.NOTCOMBI.2012.2.16_v1.4(04.04.11)  2" xfId="4"/>
    <cellStyle name="_Расчет RAB_Лен и МОЭСК_с 2010 года_14.04.2009_со сглаж_version 3.0_без ФСК_Книга2_PR.PROG.WARM.NOTCOMBI.2012.2.16_v1.4(04.04.11) " xfId="4"/>
    <cellStyle name="_Расчет RAB_Лен и МОЭСК_с 2010 года_14.04.2009_со сглаж_version 3.0_без ФСК_Книга2_PR.PROG.WARM.NOTCOMBI.2012.2.16_v1.4(04.04.11)  2" xfId="4"/>
    <cellStyle name="Cells 2" xfId="5"/>
    <cellStyle name="Cells 2 2" xfId="5"/>
    <cellStyle name="currency1" xfId="6"/>
    <cellStyle name="currency1 2" xfId="6"/>
    <cellStyle name="Currency2" xfId="7"/>
    <cellStyle name="Currency2 2" xfId="7"/>
    <cellStyle name="currency3" xfId="8"/>
    <cellStyle name="currency3 2" xfId="8"/>
    <cellStyle name="currency4" xfId="9"/>
    <cellStyle name="currency4 2" xfId="9"/>
    <cellStyle name="Followed Hyperlink" xfId="10"/>
    <cellStyle name="Followed Hyperlink 2" xfId="10"/>
    <cellStyle name="Header 3" xfId="11"/>
    <cellStyle name="Header 3 2" xfId="11"/>
    <cellStyle name="normal" xfId="1"/>
    <cellStyle name="normal 2" xfId="1"/>
    <cellStyle name="Normal1" xfId="12"/>
    <cellStyle name="Normal1 2" xfId="12"/>
    <cellStyle name="Normal2" xfId="7"/>
    <cellStyle name="Normal2 2" xfId="7"/>
    <cellStyle name="Percent1" xfId="7"/>
    <cellStyle name="Percent1 2" xfId="7"/>
    <cellStyle name="Title 4" xfId="13"/>
    <cellStyle name="Title 4 2" xfId="13"/>
    <cellStyle name="Ввод  2" xfId="14"/>
    <cellStyle name="Ввод  2 2" xfId="14"/>
    <cellStyle name="Ввод  3" xfId="14"/>
    <cellStyle name="Ввод  3 2" xfId="14"/>
    <cellStyle name="Гиперссылка" xfId="15" builtinId="8"/>
    <cellStyle name="Гиперссылка 2" xfId="16"/>
    <cellStyle name="Гиперссылка 2 2" xfId="17"/>
    <cellStyle name="Гиперссылка 2 2 2" xfId="17"/>
    <cellStyle name="Гиперссылка 2 3" xfId="18"/>
    <cellStyle name="Гиперссылка 2 3 2" xfId="18"/>
    <cellStyle name="Гиперссылка 2 4" xfId="16"/>
    <cellStyle name="Гиперссылка 3" xfId="15"/>
    <cellStyle name="Гиперссылка 4" xfId="19"/>
    <cellStyle name="Гиперссылка 4 2" xfId="15"/>
    <cellStyle name="Гиперссылка 4 2 2" xfId="15"/>
    <cellStyle name="Гиперссылка 4 3" xfId="19"/>
    <cellStyle name="Гиперссылка 5" xfId="15"/>
    <cellStyle name="Гиперссылка 5 2" xfId="15"/>
    <cellStyle name="Границы" xfId="20"/>
    <cellStyle name="Границы 2" xfId="20"/>
    <cellStyle name="Заголовок" xfId="21"/>
    <cellStyle name="Заголовок 2" xfId="21" builtinId="17"/>
    <cellStyle name="ЗаголовокСтолбца" xfId="22"/>
    <cellStyle name="ЗаголовокСтолбца 2" xfId="22"/>
    <cellStyle name="Значение" xfId="23"/>
    <cellStyle name="Значение 2" xfId="23"/>
    <cellStyle name="Обычный" xfId="0" builtinId="0"/>
    <cellStyle name="Обычный 10" xfId="24"/>
    <cellStyle name="Обычный 10 2" xfId="24"/>
    <cellStyle name="Обычный 11" xfId="25"/>
    <cellStyle name="Обычный 11 2" xfId="25"/>
    <cellStyle name="Обычный 11 2 2" xfId="25"/>
    <cellStyle name="Обычный 11 2 2 2" xfId="25"/>
    <cellStyle name="Обычный 11 2 3" xfId="25"/>
    <cellStyle name="Обычный 11 3" xfId="25"/>
    <cellStyle name="Обычный 11 3 2" xfId="25"/>
    <cellStyle name="Обычный 11 4" xfId="25"/>
    <cellStyle name="Обычный 12" xfId="25"/>
    <cellStyle name="Обычный 12 2" xfId="26"/>
    <cellStyle name="Обычный 12 2 2" xfId="26"/>
    <cellStyle name="Обычный 12 3" xfId="25"/>
    <cellStyle name="Обычный 12 3 2" xfId="25"/>
    <cellStyle name="Обычный 12 3 2 2" xfId="25"/>
    <cellStyle name="Обычный 12 3 2 2 2" xfId="25"/>
    <cellStyle name="Обычный 12 3 2 3" xfId="25"/>
    <cellStyle name="Обычный 12 3 3" xfId="25"/>
    <cellStyle name="Обычный 12 3 3 2" xfId="25"/>
    <cellStyle name="Обычный 12 3 4" xfId="25"/>
    <cellStyle name="Обычный 12 4" xfId="25"/>
    <cellStyle name="Обычный 12 4 2" xfId="25"/>
    <cellStyle name="Обычный 12 4 2 2" xfId="25"/>
    <cellStyle name="Обычный 12 4 3" xfId="25"/>
    <cellStyle name="Обычный 12 5" xfId="25"/>
    <cellStyle name="Обычный 12 5 2" xfId="25"/>
    <cellStyle name="Обычный 12 5 2 2" xfId="25"/>
    <cellStyle name="Обычный 12 5 3" xfId="25"/>
    <cellStyle name="Обычный 12 6" xfId="25"/>
    <cellStyle name="Обычный 12 6 2" xfId="25"/>
    <cellStyle name="Обычный 12 6 2 2" xfId="25"/>
    <cellStyle name="Обычный 12 6 3" xfId="25"/>
    <cellStyle name="Обычный 12 7" xfId="25"/>
    <cellStyle name="Обычный 12 7 2" xfId="25"/>
    <cellStyle name="Обычный 12 8" xfId="25"/>
    <cellStyle name="Обычный 13" xfId="27"/>
    <cellStyle name="Обычный 13 2" xfId="27"/>
    <cellStyle name="Обычный 14" xfId="25"/>
    <cellStyle name="Обычный 14 2" xfId="25"/>
    <cellStyle name="Обычный 14 2 2" xfId="25"/>
    <cellStyle name="Обычный 14 2 2 2" xfId="25"/>
    <cellStyle name="Обычный 14 2 2 2 2" xfId="25"/>
    <cellStyle name="Обычный 14 2 2 3" xfId="25"/>
    <cellStyle name="Обычный 14 2 3" xfId="25"/>
    <cellStyle name="Обычный 14 2 3 2" xfId="25"/>
    <cellStyle name="Обычный 14 2 4" xfId="25"/>
    <cellStyle name="Обычный 14 3" xfId="25"/>
    <cellStyle name="Обычный 14 3 2" xfId="25"/>
    <cellStyle name="Обычный 14 3 2 2" xfId="25"/>
    <cellStyle name="Обычный 14 3 3" xfId="25"/>
    <cellStyle name="Обычный 14 4" xfId="25"/>
    <cellStyle name="Обычный 14 4 2" xfId="25"/>
    <cellStyle name="Обычный 14 4 2 2" xfId="25"/>
    <cellStyle name="Обычный 14 4 3" xfId="25"/>
    <cellStyle name="Обычный 14 5" xfId="25"/>
    <cellStyle name="Обычный 14 5 2" xfId="25"/>
    <cellStyle name="Обычный 14 5 2 2" xfId="25"/>
    <cellStyle name="Обычный 14 5 3" xfId="25"/>
    <cellStyle name="Обычный 14 6" xfId="25"/>
    <cellStyle name="Обычный 14 6 2" xfId="25"/>
    <cellStyle name="Обычный 14 6 2 2" xfId="25"/>
    <cellStyle name="Обычный 14 6 2 2 2" xfId="25"/>
    <cellStyle name="Обычный 14 6 2 2 2 2" xfId="25"/>
    <cellStyle name="Обычный 14 6 2 2 3" xfId="25"/>
    <cellStyle name="Обычный 14 6 2 3" xfId="25"/>
    <cellStyle name="Обычный 14 6 2 3 2" xfId="25"/>
    <cellStyle name="Обычный 14 6 2 4" xfId="25"/>
    <cellStyle name="Обычный 14 6 3" xfId="25"/>
    <cellStyle name="Обычный 14 6 3 2" xfId="25"/>
    <cellStyle name="Обычный 14 6 3 2 2" xfId="25"/>
    <cellStyle name="Обычный 14 6 3 3" xfId="25"/>
    <cellStyle name="Обычный 14 6 4" xfId="25"/>
    <cellStyle name="Обычный 14 6 4 2" xfId="25"/>
    <cellStyle name="Обычный 14 6 5" xfId="25"/>
    <cellStyle name="Обычный 14 7" xfId="25"/>
    <cellStyle name="Обычный 14 7 2" xfId="25"/>
    <cellStyle name="Обычный 14 8" xfId="28"/>
    <cellStyle name="Обычный 14 8 2" xfId="28"/>
    <cellStyle name="Обычный 14 9" xfId="25"/>
    <cellStyle name="Обычный 15" xfId="25"/>
    <cellStyle name="Обычный 15 2" xfId="25"/>
    <cellStyle name="Обычный 16" xfId="27"/>
    <cellStyle name="Обычный 16 2" xfId="27"/>
    <cellStyle name="Обычный 17" xfId="25"/>
    <cellStyle name="Обычный 17 2" xfId="25"/>
    <cellStyle name="Обычный 18" xfId="27"/>
    <cellStyle name="Обычный 2" xfId="28"/>
    <cellStyle name="Обычный 2 10 2" xfId="28"/>
    <cellStyle name="Обычный 2 10 2 2" xfId="28"/>
    <cellStyle name="Обычный 2 2" xfId="29"/>
    <cellStyle name="Обычный 2 2 2" xfId="29"/>
    <cellStyle name="Обычный 2 3" xfId="26"/>
    <cellStyle name="Обычный 2 3 2" xfId="26"/>
    <cellStyle name="Обычный 2 4" xfId="27"/>
    <cellStyle name="Обычный 2 4 2" xfId="27"/>
    <cellStyle name="Обычный 2 5" xfId="28"/>
    <cellStyle name="Обычный 3" xfId="24"/>
    <cellStyle name="Обычный 3 2" xfId="27"/>
    <cellStyle name="Обычный 3 2 2" xfId="30"/>
    <cellStyle name="Обычный 3 2 2 2" xfId="30"/>
    <cellStyle name="Обычный 3 2 3" xfId="27"/>
    <cellStyle name="Обычный 3 3" xfId="31"/>
    <cellStyle name="Обычный 3 3 2" xfId="31"/>
    <cellStyle name="Обычный 3 3 2 2" xfId="31"/>
    <cellStyle name="Обычный 3 3 3" xfId="31"/>
    <cellStyle name="Обычный 3 4" xfId="32"/>
    <cellStyle name="Обычный 3 4 2" xfId="24"/>
    <cellStyle name="Обычный 3 4 2 2" xfId="24"/>
    <cellStyle name="Обычный 3 4 3" xfId="32"/>
    <cellStyle name="Обычный 3 5" xfId="24"/>
    <cellStyle name="Обычный 4" xfId="30"/>
    <cellStyle name="Обычный 4 2" xfId="27"/>
    <cellStyle name="Обычный 4 2 2" xfId="27"/>
    <cellStyle name="Обычный 4 3" xfId="30"/>
    <cellStyle name="Обычный 5" xfId="27"/>
    <cellStyle name="Обычный 5 2" xfId="27"/>
    <cellStyle name="Обычный 6" xfId="25"/>
    <cellStyle name="Обычный 6 2" xfId="30"/>
    <cellStyle name="Обычный 6 2 2" xfId="30"/>
    <cellStyle name="Обычный 6 3" xfId="25"/>
    <cellStyle name="Обычный 6 3 2" xfId="25"/>
    <cellStyle name="Обычный 6 4" xfId="25"/>
    <cellStyle name="Обычный 7" xfId="30"/>
    <cellStyle name="Обычный 7 2" xfId="30"/>
    <cellStyle name="Обычный 8" xfId="30"/>
    <cellStyle name="Обычный 8 2" xfId="30"/>
    <cellStyle name="Обычный 9" xfId="30"/>
    <cellStyle name="Обычный 9 2" xfId="30"/>
    <cellStyle name="Обычный_SIMPLE_1_massive2" xfId="33"/>
    <cellStyle name="Обычный_форма 1 водопровод для орг" xfId="34"/>
    <cellStyle name="Открывавшаяся гиперссылка" xfId="35"/>
    <cellStyle name="Открывавшаяся гиперссылка 2" xfId="35"/>
    <cellStyle name="ФормулаВБ_Мониторинг инвестиций" xfId="3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styles" Target="styles.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sharedStrings" Target="sharedStrings.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theme" Target="theme/theme1.xml"/><Relationship Id="rId9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6.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2" name="cmdCreatePrintedForm" descr="Создание печатной формы"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28</xdr:row>
      <xdr:rowOff>0</xdr:rowOff>
    </xdr:from>
    <xdr:to>
      <xdr:col>4</xdr:col>
      <xdr:colOff>288036</xdr:colOff>
      <xdr:row>29</xdr:row>
      <xdr:rowOff>0</xdr:rowOff>
    </xdr:to>
    <xdr:pic>
      <xdr:nvPicPr>
        <xdr:cNvPr id="3" name="UPDATE_PLAN1X_DATA"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104775</xdr:colOff>
      <xdr:row>63</xdr:row>
      <xdr:rowOff>76200</xdr:rowOff>
    </xdr:from>
    <xdr:to>
      <xdr:col>4</xdr:col>
      <xdr:colOff>312325</xdr:colOff>
      <xdr:row>63</xdr:row>
      <xdr:rowOff>400241</xdr:rowOff>
    </xdr:to>
    <xdr:pic>
      <xdr:nvPicPr>
        <xdr:cNvPr id="4" name="PHONE_PIC"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2.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1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KurshakovaLM@volgaenergo.ru" TargetMode="External"/><Relationship Id="rId4" Type="http://schemas.openxmlformats.org/officeDocument/2006/relationships/comments" Target="../comments1.x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0.xml.rels><?xml version="1.0" encoding="UTF-8" standalone="yes"?>
<Relationships xmlns="http://schemas.openxmlformats.org/package/2006/relationships"><Relationship Id="rId1" Type="http://schemas.openxmlformats.org/officeDocument/2006/relationships/hyperlink" Target="https://portal.eias.ru/Portal/DownloadPage.aspx?type=12&amp;guid=e7497b59-7d1c-4408-88b7-aded9968f035"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1751" customWidth="1"/>
    <col min="2" max="2" width="9.140625" style="1751" customWidth="1"/>
    <col min="3" max="3" width="16.42578125" style="1751" customWidth="1"/>
    <col min="4" max="25" width="6.28515625" style="1751" customWidth="1"/>
    <col min="26" max="28" width="11" style="1751"/>
  </cols>
  <sheetData>
    <row r="1" spans="1:28" ht="15.75" customHeight="1">
      <c r="A1" s="1559"/>
      <c r="B1" s="1560"/>
      <c r="C1" s="1560"/>
      <c r="D1" s="1560"/>
      <c r="E1" s="1560"/>
      <c r="F1" s="1560"/>
      <c r="G1" s="1560"/>
      <c r="H1" s="1560"/>
      <c r="I1" s="1560"/>
      <c r="J1" s="1560"/>
      <c r="K1" s="1560"/>
      <c r="L1" s="1560"/>
      <c r="M1" s="1560"/>
      <c r="N1" s="1560"/>
      <c r="O1" s="1560"/>
      <c r="P1" s="1560"/>
      <c r="Q1" s="1560"/>
      <c r="R1" s="1560"/>
      <c r="S1" s="1560"/>
      <c r="T1" s="1560"/>
      <c r="U1" s="1560"/>
      <c r="V1" s="1560"/>
      <c r="W1" s="1560"/>
      <c r="X1" s="1560"/>
      <c r="Y1" s="1561"/>
      <c r="Z1" s="1560"/>
      <c r="AA1" s="1562" t="s">
        <v>0</v>
      </c>
      <c r="AB1" s="1560"/>
    </row>
    <row r="2" spans="1:28" ht="17.25" customHeight="1">
      <c r="A2" s="1560"/>
      <c r="B2" s="1994" t="s">
        <v>1</v>
      </c>
      <c r="C2" s="1994"/>
      <c r="D2" s="1994"/>
      <c r="E2" s="1994"/>
      <c r="F2" s="1994"/>
      <c r="G2" s="1994"/>
      <c r="H2" s="1994"/>
      <c r="I2" s="1994"/>
      <c r="J2" s="1994"/>
      <c r="K2" s="1994"/>
      <c r="L2" s="1994"/>
      <c r="M2" s="1994"/>
      <c r="N2" s="1994"/>
      <c r="O2" s="1994"/>
      <c r="P2" s="1994"/>
      <c r="Q2" s="1563"/>
      <c r="R2" s="1563"/>
      <c r="S2" s="1563"/>
      <c r="T2" s="1563"/>
      <c r="U2" s="1563"/>
      <c r="V2" s="1564"/>
      <c r="W2" s="1563"/>
      <c r="X2" s="1563"/>
      <c r="Y2" s="1561"/>
      <c r="Z2" s="1560"/>
      <c r="AA2" s="1562"/>
      <c r="AB2" s="1560"/>
    </row>
    <row r="3" spans="1:28" ht="15.75" customHeight="1">
      <c r="A3" s="1560"/>
      <c r="B3" s="1995" t="s">
        <v>2</v>
      </c>
      <c r="C3" s="1995"/>
      <c r="D3" s="1995"/>
      <c r="E3" s="1995"/>
      <c r="F3" s="1995"/>
      <c r="G3" s="1995"/>
      <c r="H3" s="1995"/>
      <c r="I3" s="1995"/>
      <c r="J3" s="1995"/>
      <c r="K3" s="1995"/>
      <c r="L3" s="1995"/>
      <c r="M3" s="1995"/>
      <c r="N3" s="1995"/>
      <c r="O3" s="1995"/>
      <c r="P3" s="1995"/>
      <c r="Q3" s="1564"/>
      <c r="R3" s="1564"/>
      <c r="S3" s="1563"/>
      <c r="T3" s="1563"/>
      <c r="U3" s="1563"/>
      <c r="V3" s="1564"/>
      <c r="W3" s="1564"/>
      <c r="X3" s="1564"/>
      <c r="Y3" s="1564"/>
      <c r="Z3" s="1560"/>
      <c r="AA3" s="1562"/>
      <c r="AB3" s="1560"/>
    </row>
    <row r="4" spans="1:28" ht="17.25" customHeight="1">
      <c r="A4" s="1560"/>
      <c r="B4" s="1565"/>
      <c r="C4" s="1560"/>
      <c r="D4" s="1564"/>
      <c r="E4" s="1564"/>
      <c r="F4" s="1564"/>
      <c r="G4" s="1564"/>
      <c r="H4" s="1564"/>
      <c r="I4" s="1564"/>
      <c r="J4" s="1564"/>
      <c r="K4" s="1564"/>
      <c r="L4" s="1564"/>
      <c r="M4" s="1564"/>
      <c r="N4" s="1564"/>
      <c r="O4" s="1564"/>
      <c r="P4" s="1564"/>
      <c r="Q4" s="1564"/>
      <c r="R4" s="1564"/>
      <c r="S4" s="1564"/>
      <c r="T4" s="1564"/>
      <c r="U4" s="1564"/>
      <c r="V4" s="1564"/>
      <c r="W4" s="1564"/>
      <c r="X4" s="1564"/>
      <c r="Y4" s="1564"/>
      <c r="Z4" s="1560"/>
      <c r="AA4" s="1562"/>
      <c r="AB4" s="1560"/>
    </row>
    <row r="5" spans="1:28" ht="22.5" customHeight="1">
      <c r="A5" s="1566"/>
      <c r="B5" s="1996"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1997"/>
      <c r="D5" s="1997"/>
      <c r="E5" s="1997"/>
      <c r="F5" s="1997"/>
      <c r="G5" s="1997"/>
      <c r="H5" s="1997"/>
      <c r="I5" s="1997"/>
      <c r="J5" s="1997"/>
      <c r="K5" s="1997"/>
      <c r="L5" s="1997"/>
      <c r="M5" s="1997"/>
      <c r="N5" s="1997"/>
      <c r="O5" s="1997"/>
      <c r="P5" s="1997"/>
      <c r="Q5" s="1997"/>
      <c r="R5" s="1997"/>
      <c r="S5" s="1997"/>
      <c r="T5" s="1997"/>
      <c r="U5" s="1997"/>
      <c r="V5" s="1997"/>
      <c r="W5" s="1997"/>
      <c r="X5" s="1997"/>
      <c r="Y5" s="1998"/>
      <c r="Z5" s="1566"/>
      <c r="AA5" s="1562"/>
      <c r="AB5" s="1566"/>
    </row>
    <row r="6" spans="1:28" ht="15" customHeight="1">
      <c r="A6" s="1567"/>
      <c r="B6" s="1986" t="s">
        <v>3</v>
      </c>
      <c r="C6" s="1989"/>
      <c r="D6" s="1568"/>
      <c r="E6" s="1568"/>
      <c r="F6" s="1568"/>
      <c r="G6" s="1568"/>
      <c r="H6" s="1568"/>
      <c r="I6" s="1568"/>
      <c r="J6" s="1568"/>
      <c r="K6" s="1568"/>
      <c r="L6" s="1568"/>
      <c r="M6" s="1568"/>
      <c r="N6" s="1568"/>
      <c r="O6" s="1568"/>
      <c r="P6" s="1568"/>
      <c r="Q6" s="1568"/>
      <c r="R6" s="1568"/>
      <c r="S6" s="1568"/>
      <c r="T6" s="1568"/>
      <c r="U6" s="1568"/>
      <c r="V6" s="1568"/>
      <c r="W6" s="1568"/>
      <c r="X6" s="1568"/>
      <c r="Y6" s="1569"/>
      <c r="Z6" s="1570"/>
      <c r="AA6" s="1571"/>
      <c r="AB6" s="1571"/>
    </row>
    <row r="7" spans="1:28" ht="15" customHeight="1">
      <c r="A7" s="1567"/>
      <c r="B7" s="1986"/>
      <c r="C7" s="1989"/>
      <c r="D7" s="1568"/>
      <c r="E7" s="1568"/>
      <c r="F7" s="1572"/>
      <c r="G7" s="1572"/>
      <c r="H7" s="1572"/>
      <c r="I7" s="1572"/>
      <c r="J7" s="1572"/>
      <c r="K7" s="1572"/>
      <c r="L7" s="1572"/>
      <c r="M7" s="1572"/>
      <c r="N7" s="1572"/>
      <c r="O7" s="1568"/>
      <c r="P7" s="1572"/>
      <c r="Q7" s="1572"/>
      <c r="R7" s="1572"/>
      <c r="S7" s="1572"/>
      <c r="T7" s="1572"/>
      <c r="U7" s="1572"/>
      <c r="V7" s="1572"/>
      <c r="W7" s="1572"/>
      <c r="X7" s="1572"/>
      <c r="Y7" s="1569"/>
      <c r="Z7" s="1570"/>
      <c r="AA7" s="1571"/>
      <c r="AB7" s="1571"/>
    </row>
    <row r="8" spans="1:28" ht="15" customHeight="1">
      <c r="A8" s="1567"/>
      <c r="B8" s="1986"/>
      <c r="C8" s="1989"/>
      <c r="D8" s="1573"/>
      <c r="E8" s="1574" t="s">
        <v>4</v>
      </c>
      <c r="F8" s="1999" t="s">
        <v>5</v>
      </c>
      <c r="G8" s="1988"/>
      <c r="H8" s="1988"/>
      <c r="I8" s="1988"/>
      <c r="J8" s="1988"/>
      <c r="K8" s="1988"/>
      <c r="L8" s="1988"/>
      <c r="M8" s="1988"/>
      <c r="N8" s="1573"/>
      <c r="O8" s="1575" t="s">
        <v>4</v>
      </c>
      <c r="P8" s="2000" t="s">
        <v>6</v>
      </c>
      <c r="Q8" s="2001"/>
      <c r="R8" s="2001"/>
      <c r="S8" s="2001"/>
      <c r="T8" s="2001"/>
      <c r="U8" s="2001"/>
      <c r="V8" s="2001"/>
      <c r="W8" s="2001"/>
      <c r="X8" s="2001"/>
      <c r="Y8" s="1569"/>
      <c r="Z8" s="1570"/>
      <c r="AA8" s="1571"/>
      <c r="AB8" s="1571"/>
    </row>
    <row r="9" spans="1:28" ht="15" customHeight="1">
      <c r="A9" s="1567"/>
      <c r="B9" s="1986"/>
      <c r="C9" s="1989"/>
      <c r="D9" s="1573"/>
      <c r="E9" s="1576" t="s">
        <v>4</v>
      </c>
      <c r="F9" s="1999" t="s">
        <v>7</v>
      </c>
      <c r="G9" s="1988"/>
      <c r="H9" s="1988"/>
      <c r="I9" s="1988"/>
      <c r="J9" s="1988"/>
      <c r="K9" s="1988"/>
      <c r="L9" s="1988"/>
      <c r="M9" s="1988"/>
      <c r="N9" s="1573"/>
      <c r="O9" s="1577" t="s">
        <v>4</v>
      </c>
      <c r="P9" s="2000" t="s">
        <v>8</v>
      </c>
      <c r="Q9" s="2001"/>
      <c r="R9" s="2001"/>
      <c r="S9" s="2001"/>
      <c r="T9" s="2001"/>
      <c r="U9" s="2001"/>
      <c r="V9" s="2001"/>
      <c r="W9" s="2001"/>
      <c r="X9" s="2001"/>
      <c r="Y9" s="1569"/>
      <c r="Z9" s="1570"/>
      <c r="AA9" s="1571"/>
      <c r="AB9" s="1571"/>
    </row>
    <row r="10" spans="1:28" ht="30" customHeight="1">
      <c r="A10" s="1567"/>
      <c r="B10" s="1986"/>
      <c r="C10" s="1987"/>
      <c r="D10" s="1578"/>
      <c r="E10" s="1579"/>
      <c r="F10" s="1572"/>
      <c r="G10" s="1572"/>
      <c r="H10" s="1572"/>
      <c r="I10" s="1572"/>
      <c r="J10" s="1572"/>
      <c r="K10" s="1572"/>
      <c r="L10" s="1572"/>
      <c r="M10" s="1572"/>
      <c r="N10" s="1572"/>
      <c r="O10" s="1579"/>
      <c r="P10" s="1572"/>
      <c r="Q10" s="1572"/>
      <c r="R10" s="1572"/>
      <c r="S10" s="1572"/>
      <c r="T10" s="1572"/>
      <c r="U10" s="1572"/>
      <c r="V10" s="1572"/>
      <c r="W10" s="1572"/>
      <c r="X10" s="1572"/>
      <c r="Y10" s="1569"/>
      <c r="Z10" s="1570"/>
      <c r="AA10" s="1571"/>
      <c r="AB10" s="1571"/>
    </row>
    <row r="11" spans="1:28" ht="19.5" customHeight="1">
      <c r="A11" s="1567"/>
      <c r="B11" s="1" t="s">
        <v>9</v>
      </c>
      <c r="C11" s="2"/>
      <c r="D11" s="1573"/>
      <c r="E11" s="1580"/>
      <c r="F11" s="1580"/>
      <c r="G11" s="1580"/>
      <c r="H11" s="1580"/>
      <c r="I11" s="1580"/>
      <c r="J11" s="1580"/>
      <c r="K11" s="1580"/>
      <c r="L11" s="1580"/>
      <c r="M11" s="1580"/>
      <c r="N11" s="1580"/>
      <c r="O11" s="1580"/>
      <c r="P11" s="1580"/>
      <c r="Q11" s="1580"/>
      <c r="R11" s="1580"/>
      <c r="S11" s="1580"/>
      <c r="T11" s="1580"/>
      <c r="U11" s="1580"/>
      <c r="V11" s="1580"/>
      <c r="W11" s="1580"/>
      <c r="X11" s="1580"/>
      <c r="Y11" s="1569"/>
      <c r="Z11" s="1570"/>
      <c r="AA11" s="1571"/>
      <c r="AB11" s="1571"/>
    </row>
    <row r="12" spans="1:28" ht="69" customHeight="1">
      <c r="A12" s="1567"/>
      <c r="B12" s="1986"/>
      <c r="C12" s="1987"/>
      <c r="D12" s="1581"/>
      <c r="E12" s="1988" t="s">
        <v>10</v>
      </c>
      <c r="F12" s="1988"/>
      <c r="G12" s="1988"/>
      <c r="H12" s="1988"/>
      <c r="I12" s="1988"/>
      <c r="J12" s="1988"/>
      <c r="K12" s="1988"/>
      <c r="L12" s="1988"/>
      <c r="M12" s="1988"/>
      <c r="N12" s="1988"/>
      <c r="O12" s="1988"/>
      <c r="P12" s="1988"/>
      <c r="Q12" s="1988"/>
      <c r="R12" s="1988"/>
      <c r="S12" s="1988"/>
      <c r="T12" s="1988"/>
      <c r="U12" s="1988"/>
      <c r="V12" s="1988"/>
      <c r="W12" s="1988"/>
      <c r="X12" s="1988"/>
      <c r="Y12" s="1569"/>
      <c r="Z12" s="1570"/>
      <c r="AA12" s="1571"/>
      <c r="AB12" s="1571"/>
    </row>
    <row r="13" spans="1:28" ht="15" customHeight="1">
      <c r="A13" s="1567"/>
      <c r="B13" s="1" t="s">
        <v>11</v>
      </c>
      <c r="C13" s="2"/>
      <c r="D13" s="1568"/>
      <c r="E13" s="1580"/>
      <c r="F13" s="1580"/>
      <c r="G13" s="1580"/>
      <c r="H13" s="1580"/>
      <c r="I13" s="1580"/>
      <c r="J13" s="1580"/>
      <c r="K13" s="1580"/>
      <c r="L13" s="1580"/>
      <c r="M13" s="1580"/>
      <c r="N13" s="1580"/>
      <c r="O13" s="1580"/>
      <c r="P13" s="1580"/>
      <c r="Q13" s="1580"/>
      <c r="R13" s="1580"/>
      <c r="S13" s="1580"/>
      <c r="T13" s="1580"/>
      <c r="U13" s="1580"/>
      <c r="V13" s="1580"/>
      <c r="W13" s="1580"/>
      <c r="X13" s="1580"/>
      <c r="Y13" s="1569"/>
      <c r="Z13" s="1570"/>
      <c r="AA13" s="1571"/>
      <c r="AB13" s="1571"/>
    </row>
    <row r="14" spans="1:28" ht="57" customHeight="1">
      <c r="A14" s="1567"/>
      <c r="B14" s="1986"/>
      <c r="C14" s="1989"/>
      <c r="D14" s="1573"/>
      <c r="E14" s="1992" t="s">
        <v>12</v>
      </c>
      <c r="F14" s="1992"/>
      <c r="G14" s="1992"/>
      <c r="H14" s="1992"/>
      <c r="I14" s="1992"/>
      <c r="J14" s="1992"/>
      <c r="K14" s="1992"/>
      <c r="L14" s="1992"/>
      <c r="M14" s="1992"/>
      <c r="N14" s="1992"/>
      <c r="O14" s="1992"/>
      <c r="P14" s="1992"/>
      <c r="Q14" s="1992"/>
      <c r="R14" s="1992"/>
      <c r="S14" s="1992"/>
      <c r="T14" s="1992"/>
      <c r="U14" s="1992"/>
      <c r="V14" s="1992"/>
      <c r="W14" s="1992"/>
      <c r="X14" s="1992"/>
      <c r="Y14" s="1569"/>
      <c r="Z14" s="1570"/>
      <c r="AA14" s="1571"/>
      <c r="AB14" s="1571"/>
    </row>
    <row r="15" spans="1:28" ht="16.5" customHeight="1">
      <c r="A15" s="1567"/>
      <c r="B15" s="1990"/>
      <c r="C15" s="1991"/>
      <c r="D15" s="1582"/>
      <c r="E15" s="1583"/>
      <c r="F15" s="1583"/>
      <c r="G15" s="1583"/>
      <c r="H15" s="1583"/>
      <c r="I15" s="1583"/>
      <c r="J15" s="1583"/>
      <c r="K15" s="1583"/>
      <c r="L15" s="1583"/>
      <c r="M15" s="1583"/>
      <c r="N15" s="1583"/>
      <c r="O15" s="1583"/>
      <c r="P15" s="1583"/>
      <c r="Q15" s="1583"/>
      <c r="R15" s="1583"/>
      <c r="S15" s="1583"/>
      <c r="T15" s="1583"/>
      <c r="U15" s="1583"/>
      <c r="V15" s="1583"/>
      <c r="W15" s="1583"/>
      <c r="X15" s="1583"/>
      <c r="Y15" s="1584"/>
      <c r="Z15" s="1570"/>
      <c r="AA15" s="1585"/>
      <c r="AB15" s="1571"/>
    </row>
    <row r="16" spans="1:28" ht="95.25" customHeight="1">
      <c r="A16" s="1560"/>
      <c r="B16" s="1992"/>
      <c r="C16" s="1993"/>
      <c r="D16" s="1993"/>
      <c r="E16" s="1993"/>
      <c r="F16" s="1993"/>
      <c r="G16" s="1993"/>
      <c r="H16" s="1993"/>
      <c r="I16" s="1993"/>
      <c r="J16" s="1993"/>
      <c r="K16" s="1993"/>
      <c r="L16" s="1993"/>
      <c r="M16" s="1993"/>
      <c r="N16" s="1993"/>
      <c r="O16" s="1993"/>
      <c r="P16" s="1993"/>
      <c r="Q16" s="1993"/>
      <c r="R16" s="1993"/>
      <c r="S16" s="1993"/>
      <c r="T16" s="1993"/>
      <c r="U16" s="1993"/>
      <c r="V16" s="1993"/>
      <c r="W16" s="1993"/>
      <c r="X16" s="1993"/>
      <c r="Y16" s="1993"/>
      <c r="Z16" s="1560"/>
      <c r="AA16" s="1562"/>
      <c r="AB16" s="1560"/>
    </row>
    <row r="17" spans="1:28" ht="14.25" customHeight="1">
      <c r="A17" s="1560"/>
      <c r="B17" s="1560"/>
      <c r="C17" s="1560"/>
      <c r="D17" s="1560"/>
      <c r="E17" s="1560"/>
      <c r="F17" s="1560"/>
      <c r="G17" s="1560"/>
      <c r="H17" s="1560"/>
      <c r="I17" s="1560"/>
      <c r="J17" s="1560"/>
      <c r="K17" s="1560"/>
      <c r="L17" s="1560"/>
      <c r="M17" s="1560"/>
      <c r="N17" s="1560"/>
      <c r="O17" s="1560"/>
      <c r="P17" s="1560"/>
      <c r="Q17" s="1560"/>
      <c r="R17" s="1560"/>
      <c r="S17" s="1560"/>
      <c r="T17" s="1560"/>
      <c r="U17" s="1560"/>
      <c r="V17" s="1560"/>
      <c r="W17" s="1560"/>
      <c r="X17" s="1560"/>
      <c r="Y17" s="1561"/>
      <c r="Z17" s="1560"/>
      <c r="AA17" s="1562"/>
      <c r="AB17" s="1560"/>
    </row>
    <row r="18" spans="1:28" ht="14.25" customHeight="1">
      <c r="A18" s="1560"/>
      <c r="B18" s="1560"/>
      <c r="C18" s="1560"/>
      <c r="D18" s="1560"/>
      <c r="E18" s="1560"/>
      <c r="F18" s="1560"/>
      <c r="G18" s="1560"/>
      <c r="H18" s="1560"/>
      <c r="I18" s="1560"/>
      <c r="J18" s="1560"/>
      <c r="K18" s="1560"/>
      <c r="L18" s="1560"/>
      <c r="M18" s="1560"/>
      <c r="N18" s="1560"/>
      <c r="O18" s="1560"/>
      <c r="P18" s="1560"/>
      <c r="Q18" s="1560"/>
      <c r="R18" s="1560"/>
      <c r="S18" s="1560"/>
      <c r="T18" s="1560"/>
      <c r="U18" s="1560"/>
      <c r="V18" s="1560"/>
      <c r="W18" s="1560"/>
      <c r="X18" s="1560"/>
      <c r="Y18" s="1561"/>
      <c r="Z18" s="1560"/>
      <c r="AA18" s="1562"/>
      <c r="AB18" s="1560"/>
    </row>
    <row r="19" spans="1:28" ht="14.25" customHeight="1">
      <c r="A19" s="1560"/>
      <c r="B19" s="1560"/>
      <c r="C19" s="1560"/>
      <c r="D19" s="1560"/>
      <c r="E19" s="1560"/>
      <c r="F19" s="1560"/>
      <c r="G19" s="1560"/>
      <c r="H19" s="1560"/>
      <c r="I19" s="1560"/>
      <c r="J19" s="1560"/>
      <c r="K19" s="1560"/>
      <c r="L19" s="1560"/>
      <c r="M19" s="1560"/>
      <c r="N19" s="1560"/>
      <c r="O19" s="1560"/>
      <c r="P19" s="1560"/>
      <c r="Q19" s="1560"/>
      <c r="R19" s="1560"/>
      <c r="S19" s="1560"/>
      <c r="T19" s="1560"/>
      <c r="U19" s="1560"/>
      <c r="V19" s="1560"/>
      <c r="W19" s="1560"/>
      <c r="X19" s="1560"/>
      <c r="Y19" s="1561"/>
      <c r="Z19" s="1560"/>
      <c r="AA19" s="1562"/>
      <c r="AB19" s="1560"/>
    </row>
    <row r="20" spans="1:28" ht="14.25" customHeight="1">
      <c r="A20" s="1560"/>
      <c r="B20" s="1560"/>
      <c r="C20" s="1560"/>
      <c r="D20" s="1560"/>
      <c r="E20" s="1560"/>
      <c r="F20" s="1560"/>
      <c r="G20" s="1560"/>
      <c r="H20" s="1560"/>
      <c r="I20" s="1560"/>
      <c r="J20" s="1560"/>
      <c r="K20" s="1560"/>
      <c r="L20" s="1560"/>
      <c r="M20" s="1560"/>
      <c r="N20" s="1560"/>
      <c r="O20" s="1560"/>
      <c r="P20" s="1560"/>
      <c r="Q20" s="1560"/>
      <c r="R20" s="1560"/>
      <c r="S20" s="1560"/>
      <c r="T20" s="1560"/>
      <c r="U20" s="1560"/>
      <c r="V20" s="1560"/>
      <c r="W20" s="1560"/>
      <c r="X20" s="1560"/>
      <c r="Y20" s="1561"/>
      <c r="Z20" s="1560"/>
      <c r="AA20" s="1562"/>
      <c r="AB20" s="1560"/>
    </row>
    <row r="21" spans="1:28" ht="14.25" customHeight="1">
      <c r="A21" s="1560"/>
      <c r="B21" s="1560"/>
      <c r="C21" s="1560"/>
      <c r="D21" s="1560"/>
      <c r="E21" s="1560"/>
      <c r="F21" s="1560"/>
      <c r="G21" s="1560"/>
      <c r="H21" s="1560"/>
      <c r="I21" s="1560"/>
      <c r="J21" s="1560"/>
      <c r="K21" s="1560"/>
      <c r="L21" s="1560"/>
      <c r="M21" s="1560"/>
      <c r="N21" s="1560"/>
      <c r="O21" s="1560"/>
      <c r="P21" s="1560"/>
      <c r="Q21" s="1560"/>
      <c r="R21" s="1560"/>
      <c r="S21" s="1560"/>
      <c r="T21" s="1560"/>
      <c r="U21" s="1560"/>
      <c r="V21" s="1560"/>
      <c r="W21" s="1560"/>
      <c r="X21" s="1560"/>
      <c r="Y21" s="1561"/>
      <c r="Z21" s="1560"/>
      <c r="AA21" s="1562"/>
      <c r="AB21" s="1560"/>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D3" zoomScale="90" workbookViewId="0"/>
  </sheetViews>
  <sheetFormatPr defaultColWidth="10.5703125" defaultRowHeight="14.25" customHeight="1"/>
  <cols>
    <col min="1" max="1" width="9.140625" style="1741" hidden="1" customWidth="1"/>
    <col min="2" max="3" width="9.140625" style="1846" hidden="1" customWidth="1"/>
    <col min="4" max="4" width="3.7109375" style="1760" customWidth="1"/>
    <col min="5" max="5" width="6.28515625" style="1846" customWidth="1"/>
    <col min="6" max="6" width="1.7109375" style="1846" hidden="1" customWidth="1"/>
    <col min="7" max="8" width="30.7109375" style="1846" customWidth="1"/>
    <col min="9" max="9" width="9" style="1846" customWidth="1"/>
    <col min="10" max="10" width="12.140625" style="1846" customWidth="1"/>
    <col min="11" max="11" width="46.7109375" style="1846" customWidth="1"/>
    <col min="12" max="12" width="100.28515625" style="1846" customWidth="1"/>
    <col min="13" max="13" width="7.5703125" style="1651" customWidth="1"/>
    <col min="14" max="22" width="10.5703125" style="1846"/>
  </cols>
  <sheetData>
    <row r="1" spans="1:22" s="1772" customFormat="1" ht="5.25" hidden="1" customHeight="1">
      <c r="C1" s="439"/>
      <c r="D1" s="422"/>
      <c r="F1" s="439"/>
      <c r="G1" s="417" t="s">
        <v>83</v>
      </c>
      <c r="H1" s="417" t="s">
        <v>84</v>
      </c>
      <c r="I1" s="417" t="s">
        <v>85</v>
      </c>
      <c r="P1" s="417" t="s">
        <v>83</v>
      </c>
      <c r="Q1" s="417" t="s">
        <v>84</v>
      </c>
      <c r="R1" s="417" t="s">
        <v>85</v>
      </c>
    </row>
    <row r="2" spans="1:22" s="1772" customFormat="1" ht="5.25" hidden="1" customHeight="1">
      <c r="C2" s="439"/>
      <c r="D2" s="422"/>
      <c r="F2" s="439"/>
    </row>
    <row r="3" spans="1:22" s="1653" customFormat="1" ht="6" customHeight="1">
      <c r="A3" s="407"/>
      <c r="D3" s="414"/>
      <c r="E3" s="409"/>
      <c r="F3" s="409"/>
      <c r="G3" s="409"/>
      <c r="H3" s="409"/>
      <c r="I3" s="410"/>
      <c r="J3" s="411"/>
      <c r="K3" s="411"/>
      <c r="L3" s="411"/>
    </row>
    <row r="4" spans="1:22" ht="22.5" customHeight="1">
      <c r="D4" s="383"/>
      <c r="E4" s="2014" t="s">
        <v>382</v>
      </c>
      <c r="F4" s="2014"/>
      <c r="G4" s="2015"/>
      <c r="H4" s="2015"/>
      <c r="I4" s="2016"/>
      <c r="J4" s="419"/>
      <c r="K4" s="385"/>
      <c r="L4" s="385"/>
    </row>
    <row r="5" spans="1:22" s="1846" customFormat="1" ht="17.25" customHeight="1">
      <c r="A5" s="670"/>
      <c r="D5" s="728"/>
      <c r="E5" s="2126" t="str">
        <f>IF(org=0,"Не определено",org)</f>
        <v>ООО "Автозаводская ТЭЦ"</v>
      </c>
      <c r="F5" s="2126"/>
      <c r="G5" s="2127"/>
      <c r="H5" s="2127"/>
      <c r="I5" s="2128"/>
      <c r="J5" s="419"/>
      <c r="K5" s="385"/>
      <c r="L5" s="385"/>
      <c r="M5" s="435"/>
    </row>
    <row r="6" spans="1:22" s="1653" customFormat="1" ht="11.25" customHeight="1">
      <c r="A6" s="407"/>
      <c r="D6" s="414"/>
      <c r="E6" s="409"/>
      <c r="F6" s="409"/>
      <c r="G6" s="412"/>
      <c r="H6" s="412"/>
      <c r="I6" s="413"/>
      <c r="J6" s="413"/>
      <c r="K6" s="665"/>
      <c r="L6" s="413"/>
    </row>
    <row r="7" spans="1:22" ht="14.25" customHeight="1">
      <c r="D7" s="383"/>
      <c r="E7" s="2110" t="s">
        <v>292</v>
      </c>
      <c r="F7" s="2110"/>
      <c r="G7" s="2111"/>
      <c r="H7" s="2111"/>
      <c r="I7" s="2111"/>
      <c r="J7" s="2111"/>
      <c r="K7" s="2111"/>
      <c r="L7" s="2078" t="s">
        <v>293</v>
      </c>
    </row>
    <row r="8" spans="1:22" ht="45" customHeight="1">
      <c r="D8" s="383"/>
      <c r="E8" s="402" t="s">
        <v>88</v>
      </c>
      <c r="F8" s="729"/>
      <c r="G8" s="394" t="s">
        <v>86</v>
      </c>
      <c r="H8" s="394" t="s">
        <v>87</v>
      </c>
      <c r="I8" s="349" t="s">
        <v>85</v>
      </c>
      <c r="J8" s="349" t="s">
        <v>383</v>
      </c>
      <c r="K8" s="349" t="s">
        <v>384</v>
      </c>
      <c r="L8" s="2078"/>
    </row>
    <row r="9" spans="1:22" ht="12" hidden="1" customHeight="1">
      <c r="D9" s="415"/>
      <c r="E9" s="421"/>
      <c r="F9" s="736"/>
      <c r="G9" s="421"/>
      <c r="H9" s="421"/>
      <c r="I9" s="421"/>
      <c r="J9" s="421"/>
      <c r="K9" s="421"/>
      <c r="L9" s="421"/>
      <c r="M9" s="381"/>
    </row>
    <row r="10" spans="1:22" ht="14.25" hidden="1" customHeight="1">
      <c r="A10" s="433"/>
      <c r="B10" s="433"/>
      <c r="D10" s="434"/>
      <c r="E10" s="440">
        <v>0</v>
      </c>
      <c r="F10" s="726"/>
      <c r="G10" s="436"/>
      <c r="H10" s="436"/>
      <c r="I10" s="436"/>
      <c r="J10" s="436"/>
      <c r="K10" s="436"/>
      <c r="L10" s="2124" t="s">
        <v>385</v>
      </c>
      <c r="M10" s="435"/>
      <c r="N10" s="433"/>
      <c r="O10" s="433"/>
      <c r="P10" s="433"/>
      <c r="Q10" s="433"/>
      <c r="R10" s="433"/>
      <c r="S10" s="433"/>
      <c r="T10" s="433"/>
      <c r="U10" s="433"/>
      <c r="V10" s="433"/>
    </row>
    <row r="11" spans="1:22" ht="15" hidden="1" customHeight="1">
      <c r="A11" s="2006"/>
      <c r="B11" s="432"/>
      <c r="C11" s="432"/>
      <c r="D11" s="766"/>
      <c r="E11" s="441"/>
      <c r="F11" s="441"/>
      <c r="G11" s="441"/>
      <c r="H11" s="441"/>
      <c r="I11" s="442"/>
      <c r="J11" s="443"/>
      <c r="K11" s="627"/>
      <c r="L11" s="2137"/>
      <c r="M11" s="439"/>
      <c r="N11" s="439"/>
      <c r="O11" s="439"/>
      <c r="P11" s="444"/>
      <c r="Q11" s="444"/>
      <c r="R11" s="445"/>
      <c r="S11" s="439"/>
      <c r="T11" s="439"/>
      <c r="U11" s="439"/>
      <c r="V11" s="439"/>
    </row>
    <row r="12" spans="1:22" s="1653" customFormat="1" ht="14.25" customHeight="1">
      <c r="A12" s="2006"/>
      <c r="B12" s="432"/>
      <c r="C12" s="432"/>
      <c r="D12" s="767"/>
      <c r="E12" s="729">
        <v>1</v>
      </c>
      <c r="F12" s="765">
        <v>23</v>
      </c>
      <c r="G12" s="764"/>
      <c r="H12" s="700"/>
      <c r="I12" s="698"/>
      <c r="J12" s="448" t="s">
        <v>66</v>
      </c>
      <c r="K12" s="1040" t="s">
        <v>17</v>
      </c>
      <c r="L12" s="2137"/>
      <c r="M12" s="439"/>
      <c r="N12" s="439"/>
      <c r="O12" s="439"/>
      <c r="P12" s="444" t="s">
        <v>386</v>
      </c>
      <c r="Q12" s="444" t="s">
        <v>387</v>
      </c>
      <c r="R12" s="445" t="s">
        <v>388</v>
      </c>
      <c r="S12" s="439" t="s">
        <v>389</v>
      </c>
      <c r="T12" s="439"/>
      <c r="U12" s="439"/>
      <c r="V12" s="439"/>
    </row>
    <row r="13" spans="1:22" ht="15" customHeight="1">
      <c r="A13" s="2006"/>
      <c r="B13" s="433"/>
      <c r="D13" s="434"/>
      <c r="E13" s="340"/>
      <c r="F13" s="457"/>
      <c r="G13" s="351" t="s">
        <v>102</v>
      </c>
      <c r="H13" s="339"/>
      <c r="I13" s="339"/>
      <c r="J13" s="339"/>
      <c r="K13" s="338"/>
      <c r="L13" s="2125"/>
      <c r="M13" s="437"/>
      <c r="N13" s="433"/>
      <c r="O13" s="433"/>
      <c r="P13" s="433"/>
      <c r="Q13" s="433"/>
      <c r="R13" s="433"/>
      <c r="S13" s="433"/>
      <c r="T13" s="433"/>
      <c r="U13" s="433"/>
      <c r="V13" s="433"/>
    </row>
    <row r="14" spans="1:22" ht="11.25" customHeight="1">
      <c r="A14" s="407"/>
      <c r="B14" s="408"/>
      <c r="C14" s="408"/>
      <c r="D14" s="423"/>
      <c r="E14" s="408"/>
      <c r="F14" s="408"/>
      <c r="G14" s="408"/>
      <c r="H14" s="408"/>
      <c r="I14" s="408"/>
      <c r="J14" s="408"/>
      <c r="K14" s="408"/>
      <c r="L14" s="408"/>
      <c r="M14" s="408"/>
      <c r="N14" s="408"/>
      <c r="O14" s="408"/>
      <c r="P14" s="408"/>
      <c r="Q14" s="408"/>
      <c r="R14" s="408"/>
      <c r="S14" s="408"/>
      <c r="T14" s="408"/>
      <c r="U14" s="408"/>
      <c r="V14" s="408"/>
    </row>
    <row r="15" spans="1:22" ht="14.25" customHeight="1">
      <c r="D15" s="395"/>
      <c r="E15" s="261"/>
      <c r="F15" s="261"/>
      <c r="G15" s="58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395"/>
      <c r="I15" s="395"/>
      <c r="J15" s="395"/>
      <c r="K15" s="395"/>
      <c r="L15" s="395"/>
    </row>
    <row r="18" spans="7:7" ht="14.25" customHeight="1">
      <c r="G18" s="433"/>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3" width="43.140625" style="1654"/>
    <col min="4" max="5" width="36.42578125" style="1654" customWidth="1"/>
    <col min="6" max="8" width="36.42578125" style="1655" customWidth="1"/>
  </cols>
  <sheetData>
    <row r="1" spans="1:8" ht="9" customHeight="1">
      <c r="A1" s="749" t="s">
        <v>390</v>
      </c>
      <c r="B1" s="749"/>
      <c r="C1" s="875" t="s">
        <v>391</v>
      </c>
      <c r="D1" s="874" t="s">
        <v>392</v>
      </c>
      <c r="E1" s="874" t="s">
        <v>393</v>
      </c>
      <c r="F1" s="874" t="s">
        <v>394</v>
      </c>
      <c r="G1" s="874" t="s">
        <v>395</v>
      </c>
      <c r="H1" s="874" t="s">
        <v>396</v>
      </c>
    </row>
    <row r="2" spans="1:8" ht="9" customHeight="1">
      <c r="A2" s="876" t="s">
        <v>397</v>
      </c>
      <c r="B2" s="876"/>
      <c r="C2" s="877" t="str">
        <f>INDEX(TEMPLATE_NUMBER_FORM_LIST,MATCH(TEMPLATE_SPHERE,TEMPLATE_SPHERE_LIST,0))</f>
        <v>16</v>
      </c>
      <c r="D2" s="876" t="s">
        <v>398</v>
      </c>
      <c r="E2" s="876" t="s">
        <v>150</v>
      </c>
      <c r="F2" s="878" t="s">
        <v>150</v>
      </c>
      <c r="G2" s="876" t="s">
        <v>150</v>
      </c>
      <c r="H2" s="879"/>
    </row>
    <row r="3" spans="1:8" ht="63" customHeight="1">
      <c r="A3" s="749"/>
      <c r="B3" s="749" t="s">
        <v>109</v>
      </c>
      <c r="C3" s="877" t="str">
        <f>IF(TEMPLATE_SPHERE="HEAT",D3,IF(TEMPLATE_SPHERE="TKO",H3,E3))</f>
        <v>Форма 16.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877" t="s">
        <v>399</v>
      </c>
      <c r="E3" s="877" t="str">
        <f>"Форма 10.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10.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878"/>
      <c r="G3" s="879"/>
      <c r="H3" s="749"/>
    </row>
    <row r="4" spans="1:8" ht="54" customHeight="1">
      <c r="A4" s="749" t="s">
        <v>400</v>
      </c>
      <c r="B4" s="749" t="s">
        <v>110</v>
      </c>
      <c r="C4" s="877" t="str">
        <f>IF(TEMPLATE_SPHERE="HEAT",D4,IF(TEMPLATE_SPHERE="TKO",H4,E4))</f>
        <v>Форма 1. Информация о регулируемой организации,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 (общая информация)</v>
      </c>
      <c r="D4" s="876" t="s">
        <v>401</v>
      </c>
      <c r="E4" s="877" t="str">
        <f>"Форма 1. Информация о регулируемой организации, осуществляющей "&amp;TEMPLATE_SPHERE_RUS_2&amp;"
(далее – регулируемая организация) (общая информация)"</f>
        <v>Форма 1. Информация о регулируемой организации, осуществляющей теплоснабжение
(далее – регулируемая организация) (общая информация)</v>
      </c>
      <c r="F4" s="876"/>
      <c r="G4" s="876"/>
      <c r="H4" s="749" t="s">
        <v>402</v>
      </c>
    </row>
    <row r="5" spans="1:8" ht="171" customHeight="1">
      <c r="A5" s="749" t="s">
        <v>403</v>
      </c>
      <c r="B5" s="749" t="s">
        <v>90</v>
      </c>
      <c r="C5" s="877" t="str">
        <f>IF(TEMPLATE_SPHERE="HEAT",D5,IF(TEMPLATE_SPHERE="TKO",H5,E5))</f>
        <v>Форма 17.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содержит сведения об условиях публичных договоров регулируемых организаций, а также сведения о договорах, заключенных в соответствии с частями 2.1 и 2.2 статьи 8 Федерального закона "О теплоснабжении",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 теплоснабжении", и (или) условиях договоров о подключении (технологическом присоединении) к системе теплоснабжения включает сведения об условиях публичных договоров, заключаемых единой теплоснабжающей организацией в ценовых зонах теплоснабжения</v>
      </c>
      <c r="D5" s="749" t="s">
        <v>404</v>
      </c>
      <c r="E5" s="752" t="str">
        <f>"Форма 11.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11.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879"/>
      <c r="G5" s="879"/>
      <c r="H5" s="749" t="s">
        <v>405</v>
      </c>
    </row>
    <row r="6" spans="1:8" ht="90" customHeight="1">
      <c r="A6" s="749" t="s">
        <v>406</v>
      </c>
      <c r="B6" s="749" t="s">
        <v>91</v>
      </c>
      <c r="C6" s="877" t="str">
        <f>IF(TEMPLATE_SPHERE="HEAT",D6,E6)</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D6" s="749" t="s">
        <v>407</v>
      </c>
      <c r="E6" s="752" t="str">
        <f>"Форма 5.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 в сфере "&amp;TEMPLATE_SPHERE_RUS&amp;")"</f>
        <v>Форма 5.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 в сфере теплоснабжения)</v>
      </c>
      <c r="F6" s="749"/>
      <c r="G6" s="749"/>
      <c r="H6" s="879"/>
    </row>
    <row r="7" spans="1:8" ht="45" customHeight="1">
      <c r="A7" s="749" t="s">
        <v>408</v>
      </c>
      <c r="B7" s="749" t="s">
        <v>111</v>
      </c>
      <c r="C7" s="877" t="str">
        <f>IF(TEMPLATE_SPHERE="HEAT",D7,E7)</f>
        <v>Форма 11. Информация о расходах на капитальный и текущий ремонт основных средств</v>
      </c>
      <c r="D7" s="749" t="s">
        <v>409</v>
      </c>
      <c r="E7" s="749" t="s">
        <v>410</v>
      </c>
      <c r="F7" s="879"/>
      <c r="G7" s="879"/>
      <c r="H7" s="879"/>
    </row>
    <row r="8" spans="1:8" ht="108" customHeight="1">
      <c r="A8" s="749" t="s">
        <v>411</v>
      </c>
      <c r="B8" s="749" t="s">
        <v>92</v>
      </c>
      <c r="C8" s="877"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49" t="s">
        <v>412</v>
      </c>
      <c r="E8" s="749" t="s">
        <v>413</v>
      </c>
      <c r="F8" s="879"/>
      <c r="G8" s="879"/>
      <c r="H8" s="879"/>
    </row>
    <row r="9" spans="1:8" ht="99" customHeight="1">
      <c r="A9" s="749" t="s">
        <v>414</v>
      </c>
      <c r="B9" s="749"/>
      <c r="C9" s="749" t="s">
        <v>415</v>
      </c>
      <c r="D9" s="749"/>
      <c r="E9" s="749"/>
      <c r="F9" s="879"/>
      <c r="G9" s="879"/>
      <c r="H9" s="879"/>
    </row>
    <row r="10" spans="1:8" ht="117" customHeight="1">
      <c r="A10" s="749" t="s">
        <v>416</v>
      </c>
      <c r="B10" s="749"/>
      <c r="C10" s="749" t="s">
        <v>417</v>
      </c>
      <c r="D10" s="749"/>
      <c r="E10" s="749"/>
      <c r="F10" s="879"/>
      <c r="G10" s="879"/>
      <c r="H10" s="879"/>
    </row>
    <row r="11" spans="1:8" ht="108" customHeight="1">
      <c r="A11" s="749" t="s">
        <v>418</v>
      </c>
      <c r="B11" s="749"/>
      <c r="C11" s="749" t="s">
        <v>419</v>
      </c>
      <c r="D11" s="749"/>
      <c r="E11" s="749"/>
      <c r="F11" s="879"/>
      <c r="G11" s="879"/>
      <c r="H11" s="879"/>
    </row>
    <row r="12" spans="1:8" ht="54" customHeight="1">
      <c r="A12" s="749" t="s">
        <v>420</v>
      </c>
      <c r="B12" s="749"/>
      <c r="C12" s="749" t="s">
        <v>421</v>
      </c>
      <c r="D12" s="749"/>
      <c r="E12" s="749"/>
      <c r="F12" s="879"/>
      <c r="G12" s="879"/>
      <c r="H12" s="879"/>
    </row>
    <row r="13" spans="1:8" ht="99" customHeight="1">
      <c r="A13" s="749" t="s">
        <v>422</v>
      </c>
      <c r="B13" s="749"/>
      <c r="C13" s="749" t="s">
        <v>423</v>
      </c>
      <c r="D13" s="749"/>
      <c r="E13" s="749"/>
      <c r="F13" s="879"/>
      <c r="G13" s="879"/>
      <c r="H13" s="879"/>
    </row>
    <row r="14" spans="1:8" ht="99" customHeight="1">
      <c r="A14" s="749" t="s">
        <v>424</v>
      </c>
      <c r="B14" s="749"/>
      <c r="C14" s="749" t="s">
        <v>425</v>
      </c>
      <c r="D14" s="749"/>
      <c r="E14" s="749"/>
      <c r="F14" s="879"/>
      <c r="G14" s="879"/>
      <c r="H14" s="879"/>
    </row>
    <row r="15" spans="1:8" ht="117" customHeight="1">
      <c r="A15" s="749" t="s">
        <v>426</v>
      </c>
      <c r="B15" s="749"/>
      <c r="C15" s="749" t="s">
        <v>427</v>
      </c>
      <c r="D15" s="749"/>
      <c r="E15" s="749"/>
      <c r="F15" s="879"/>
      <c r="G15" s="879"/>
      <c r="H15" s="879"/>
    </row>
    <row r="16" spans="1:8" ht="54" customHeight="1">
      <c r="A16" s="749" t="s">
        <v>428</v>
      </c>
      <c r="B16" s="749"/>
      <c r="C16" s="749" t="s">
        <v>429</v>
      </c>
      <c r="D16" s="749"/>
      <c r="E16" s="749"/>
      <c r="F16" s="879"/>
      <c r="G16" s="879"/>
      <c r="H16" s="879"/>
    </row>
    <row r="17" spans="1:8" ht="63" customHeight="1">
      <c r="A17" s="749" t="s">
        <v>430</v>
      </c>
      <c r="B17" s="749"/>
      <c r="C17" s="877" t="s">
        <v>431</v>
      </c>
      <c r="D17" s="749"/>
      <c r="E17" s="749"/>
      <c r="F17" s="879"/>
      <c r="G17" s="879"/>
      <c r="H17" s="879"/>
    </row>
    <row r="18" spans="1:8" ht="27" customHeight="1">
      <c r="A18" s="749" t="s">
        <v>432</v>
      </c>
      <c r="B18" s="749"/>
      <c r="C18" s="877" t="s">
        <v>433</v>
      </c>
      <c r="D18" s="749"/>
      <c r="E18" s="749"/>
      <c r="F18" s="879"/>
      <c r="G18" s="879"/>
      <c r="H18" s="879"/>
    </row>
    <row r="19" spans="1:8" ht="54" customHeight="1">
      <c r="A19" s="749" t="s">
        <v>434</v>
      </c>
      <c r="B19" s="749"/>
      <c r="C19" s="877" t="s">
        <v>435</v>
      </c>
      <c r="D19" s="749"/>
      <c r="E19" s="749"/>
      <c r="F19" s="879"/>
      <c r="G19" s="879"/>
      <c r="H19" s="879"/>
    </row>
    <row r="20" spans="1:8" ht="36" customHeight="1">
      <c r="A20" s="749" t="s">
        <v>436</v>
      </c>
      <c r="B20" s="749"/>
      <c r="C20" s="877" t="s">
        <v>437</v>
      </c>
      <c r="D20" s="749"/>
      <c r="E20" s="749"/>
      <c r="F20" s="879"/>
      <c r="G20" s="879"/>
      <c r="H20" s="879"/>
    </row>
    <row r="21" spans="1:8" ht="28.5" customHeight="1">
      <c r="A21" s="749" t="s">
        <v>438</v>
      </c>
      <c r="B21" s="749"/>
      <c r="C21" s="877" t="s">
        <v>439</v>
      </c>
      <c r="D21" s="749"/>
      <c r="E21" s="749"/>
      <c r="F21" s="879"/>
      <c r="G21" s="879"/>
      <c r="H21" s="879"/>
    </row>
    <row r="22" spans="1:8" ht="28.5" customHeight="1">
      <c r="A22" s="749" t="s">
        <v>440</v>
      </c>
      <c r="B22" s="749"/>
      <c r="C22" s="877" t="s">
        <v>441</v>
      </c>
      <c r="D22" s="749"/>
      <c r="E22" s="749"/>
      <c r="F22" s="879"/>
      <c r="G22" s="879"/>
      <c r="H22" s="879"/>
    </row>
    <row r="23" spans="1:8" ht="28.5" customHeight="1">
      <c r="A23" s="749" t="s">
        <v>442</v>
      </c>
      <c r="B23" s="749"/>
      <c r="C23" s="877" t="s">
        <v>443</v>
      </c>
      <c r="D23" s="749"/>
      <c r="E23" s="749"/>
      <c r="F23" s="879"/>
      <c r="G23" s="879"/>
      <c r="H23" s="879"/>
    </row>
    <row r="24" spans="1:8" ht="28.5" customHeight="1">
      <c r="A24" s="749" t="s">
        <v>444</v>
      </c>
      <c r="B24" s="749"/>
      <c r="C24" s="877" t="s">
        <v>445</v>
      </c>
      <c r="D24" s="749"/>
      <c r="E24" s="749"/>
      <c r="F24" s="879"/>
      <c r="G24" s="879"/>
      <c r="H24" s="879"/>
    </row>
    <row r="25" spans="1:8" ht="28.5" customHeight="1">
      <c r="A25" s="749" t="s">
        <v>446</v>
      </c>
      <c r="B25" s="749"/>
      <c r="C25" s="877" t="s">
        <v>447</v>
      </c>
      <c r="D25" s="749"/>
      <c r="E25" s="749"/>
      <c r="F25" s="879"/>
      <c r="G25" s="879"/>
      <c r="H25" s="879"/>
    </row>
    <row r="26" spans="1:8" ht="28.5" customHeight="1">
      <c r="A26" s="749" t="s">
        <v>448</v>
      </c>
      <c r="B26" s="749"/>
      <c r="C26" s="877" t="s">
        <v>449</v>
      </c>
      <c r="D26" s="749"/>
      <c r="E26" s="749"/>
      <c r="F26" s="879"/>
      <c r="G26" s="879"/>
      <c r="H26" s="879"/>
    </row>
    <row r="27" spans="1:8" ht="28.5" customHeight="1">
      <c r="A27" s="749" t="s">
        <v>450</v>
      </c>
      <c r="B27" s="749"/>
      <c r="C27" s="877" t="s">
        <v>451</v>
      </c>
      <c r="D27" s="749"/>
      <c r="E27" s="749"/>
      <c r="F27" s="879"/>
      <c r="G27" s="879"/>
      <c r="H27" s="879"/>
    </row>
    <row r="28" spans="1:8" ht="28.5" customHeight="1">
      <c r="A28" s="749" t="s">
        <v>452</v>
      </c>
      <c r="B28" s="749"/>
      <c r="C28" s="877" t="s">
        <v>453</v>
      </c>
      <c r="D28" s="749"/>
      <c r="E28" s="749"/>
      <c r="F28" s="879"/>
      <c r="G28" s="879"/>
      <c r="H28" s="879"/>
    </row>
    <row r="29" spans="1:8" ht="126" customHeight="1">
      <c r="A29" s="749" t="s">
        <v>454</v>
      </c>
      <c r="B29" s="749" t="s">
        <v>455</v>
      </c>
      <c r="C29" s="877" t="str">
        <f>IF(TEMPLATE_SPHERE="HEAT",D29,IF(TEMPLATE_SPHERE="TKO",H29,E29))</f>
        <v>Форма 19.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49" t="s">
        <v>456</v>
      </c>
      <c r="E29" s="752" t="str">
        <f>"Форма 13. Информация о способах приобретения, стоимости и об объемах товаров (работ, услуг), необходимых организации "&amp;TEMPLATE_SPHERE_RUS&amp;"для производства товаров (оказания услуг) в сфере "&amp;TEMPLATE_SPHERE_RUS&amp;", тарифы на которые подлежат регулированию, содержит сведения о правовых актах, регламентирующих правила закупки (положение о закупке) в организации "&amp;TEMPLATE_SPHERE_RUS&amp;" и о месте их размещения, а также сведения о планировании закупок и результатах их проведения"</f>
        <v>Форма 13. Информация о способах приобретения, стоимости и об объемах товаров (работ, услуг), необходимых организации теплоснабжениядля производства товаров (оказания услуг) в сфере теплоснабжения, тарифы на которые подлежат регулированию, содержит сведения о правовых актах, регламентирующих правила закупки (положение о закупке) в организации теплоснабжения и о месте их размещения, а также сведения о планировании закупок и результатах их проведения</v>
      </c>
      <c r="F29" s="879"/>
      <c r="G29" s="879"/>
      <c r="H29" s="749" t="s">
        <v>457</v>
      </c>
    </row>
    <row r="30" spans="1:8" ht="36" customHeight="1">
      <c r="A30" s="749" t="s">
        <v>458</v>
      </c>
      <c r="B30" s="749"/>
      <c r="C30" s="877" t="str">
        <f>IF(TEMPLATE_SPHERE="HEAT",D30,IF(TEMPLATE_SPHERE="TKO",H30,E30))</f>
        <v>Форма 18.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 &lt;1&gt;</v>
      </c>
      <c r="D30" s="749" t="s">
        <v>459</v>
      </c>
      <c r="E30" s="752" t="str">
        <f>"Форма 12.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"&amp;TEMPLATE_SPHERE_RUS&amp;" &lt;1&gt;"</f>
        <v>Форма 12.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 &lt;1&gt;</v>
      </c>
      <c r="F30" s="879"/>
      <c r="G30" s="879"/>
      <c r="H30" s="879"/>
    </row>
    <row r="31" spans="1:8" ht="9" customHeight="1">
      <c r="A31" s="749"/>
      <c r="B31" s="749"/>
      <c r="C31" s="877"/>
      <c r="D31" s="749"/>
      <c r="E31" s="749"/>
      <c r="F31" s="879"/>
      <c r="G31" s="879"/>
      <c r="H31" s="879"/>
    </row>
    <row r="32" spans="1:8" ht="9" customHeight="1">
      <c r="A32" s="749"/>
      <c r="B32" s="749"/>
      <c r="C32" s="877"/>
      <c r="D32" s="749"/>
      <c r="E32" s="749"/>
      <c r="F32" s="879"/>
      <c r="G32" s="879"/>
      <c r="H32" s="879"/>
    </row>
    <row r="33" spans="1:8" ht="9" customHeight="1">
      <c r="A33" s="749"/>
      <c r="B33" s="749"/>
      <c r="C33" s="877"/>
      <c r="D33" s="749"/>
      <c r="E33" s="749"/>
      <c r="F33" s="879"/>
      <c r="G33" s="879"/>
      <c r="H33" s="879"/>
    </row>
    <row r="34" spans="1:8" ht="9" customHeight="1">
      <c r="A34" s="749"/>
      <c r="B34" s="749" t="s">
        <v>460</v>
      </c>
      <c r="C34" s="877">
        <f>INDEX(TEMPLATE_NAME_FORM_LIST,B34,MATCH(TEMPLATE_SPHERE,TEMPLATE_SPHERE_LIST,0))</f>
        <v>0</v>
      </c>
      <c r="D34" s="749"/>
      <c r="E34" s="749"/>
      <c r="F34" s="879"/>
      <c r="G34" s="879"/>
      <c r="H34" s="879"/>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1654"/>
    <col min="3" max="7" width="8" style="1657" customWidth="1"/>
    <col min="8" max="12" width="8.5703125" style="1657" customWidth="1"/>
    <col min="13" max="14" width="27.7109375" style="1657" customWidth="1"/>
    <col min="15" max="19" width="5.140625" style="1657" customWidth="1"/>
    <col min="20" max="24" width="27.7109375" style="1657" customWidth="1"/>
    <col min="25" max="25" width="1.85546875" style="1658" customWidth="1"/>
    <col min="26" max="26" width="27.7109375" style="1654" customWidth="1"/>
    <col min="27" max="27" width="27.7109375" style="1659" customWidth="1"/>
    <col min="28" max="29" width="27.7109375" style="1654" customWidth="1"/>
    <col min="30" max="30" width="3.85546875" style="1654" customWidth="1"/>
    <col min="31" max="34" width="9.140625" style="1654"/>
  </cols>
  <sheetData>
    <row r="1" spans="1:34" s="1656" customFormat="1" ht="18" customHeight="1">
      <c r="A1" s="797"/>
      <c r="B1" s="797"/>
      <c r="C1" s="797" t="s">
        <v>461</v>
      </c>
      <c r="D1" s="797"/>
      <c r="E1" s="797"/>
      <c r="F1" s="797"/>
      <c r="G1" s="797"/>
      <c r="H1" s="797" t="s">
        <v>462</v>
      </c>
      <c r="I1" s="797"/>
      <c r="J1" s="797"/>
      <c r="K1" s="797"/>
      <c r="L1" s="797"/>
      <c r="M1" s="797" t="s">
        <v>463</v>
      </c>
      <c r="N1" s="797" t="s">
        <v>464</v>
      </c>
      <c r="O1" s="2138" t="s">
        <v>465</v>
      </c>
      <c r="P1" s="2138"/>
      <c r="Q1" s="2138"/>
      <c r="R1" s="2138"/>
      <c r="S1" s="2138"/>
      <c r="T1" s="2138" t="s">
        <v>463</v>
      </c>
      <c r="U1" s="2138"/>
      <c r="V1" s="2138"/>
      <c r="W1" s="2138"/>
      <c r="X1" s="2138"/>
      <c r="Y1" s="892"/>
      <c r="Z1" s="2138" t="s">
        <v>466</v>
      </c>
      <c r="AA1" s="2138"/>
      <c r="AB1" s="2138"/>
      <c r="AC1" s="2138"/>
      <c r="AD1" s="2138"/>
    </row>
    <row r="2" spans="1:34" ht="18" customHeight="1">
      <c r="A2" s="749"/>
      <c r="B2" s="749"/>
      <c r="C2" s="745" t="s">
        <v>392</v>
      </c>
      <c r="D2" s="745" t="s">
        <v>393</v>
      </c>
      <c r="E2" s="745" t="s">
        <v>394</v>
      </c>
      <c r="F2" s="745" t="s">
        <v>395</v>
      </c>
      <c r="G2" s="745" t="s">
        <v>396</v>
      </c>
      <c r="H2" s="746"/>
      <c r="I2" s="746"/>
      <c r="J2" s="746"/>
      <c r="K2" s="746"/>
      <c r="L2" s="746"/>
      <c r="M2" s="746"/>
      <c r="N2" s="746"/>
      <c r="O2" s="745" t="s">
        <v>392</v>
      </c>
      <c r="P2" s="745" t="s">
        <v>393</v>
      </c>
      <c r="Q2" s="745" t="s">
        <v>395</v>
      </c>
      <c r="R2" s="745" t="s">
        <v>394</v>
      </c>
      <c r="S2" s="745" t="s">
        <v>396</v>
      </c>
      <c r="T2" s="745" t="s">
        <v>392</v>
      </c>
      <c r="U2" s="745" t="s">
        <v>393</v>
      </c>
      <c r="V2" s="745" t="s">
        <v>395</v>
      </c>
      <c r="W2" s="745" t="s">
        <v>394</v>
      </c>
      <c r="X2" s="745" t="s">
        <v>396</v>
      </c>
      <c r="Y2" s="745"/>
      <c r="Z2" s="745" t="s">
        <v>392</v>
      </c>
      <c r="AA2" s="753" t="s">
        <v>393</v>
      </c>
      <c r="AB2" s="745" t="s">
        <v>395</v>
      </c>
      <c r="AC2" s="745" t="s">
        <v>394</v>
      </c>
      <c r="AD2" s="745" t="s">
        <v>396</v>
      </c>
    </row>
    <row r="3" spans="1:34" ht="162" customHeight="1">
      <c r="A3" s="748" t="s">
        <v>22</v>
      </c>
      <c r="B3" s="748"/>
      <c r="C3" s="2142" t="s">
        <v>467</v>
      </c>
      <c r="D3" s="2143"/>
      <c r="E3" s="2143"/>
      <c r="F3" s="2144"/>
      <c r="G3" s="746"/>
      <c r="H3" s="746"/>
      <c r="I3" s="746"/>
      <c r="J3" s="746"/>
      <c r="K3" s="746"/>
      <c r="L3" s="746"/>
      <c r="M3" s="746"/>
      <c r="N3" s="747"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46"/>
      <c r="P3" s="746"/>
      <c r="Q3" s="746"/>
      <c r="R3" s="746"/>
      <c r="S3" s="746"/>
      <c r="T3" s="746"/>
      <c r="U3" s="746"/>
      <c r="V3" s="746"/>
      <c r="W3" s="746"/>
      <c r="X3" s="746"/>
      <c r="Y3" s="893"/>
      <c r="Z3" s="749" t="s">
        <v>468</v>
      </c>
      <c r="AA3" s="746" t="s">
        <v>469</v>
      </c>
      <c r="AB3" s="749" t="s">
        <v>470</v>
      </c>
      <c r="AC3" s="749" t="s">
        <v>471</v>
      </c>
      <c r="AD3" s="749"/>
      <c r="AG3" s="749"/>
      <c r="AH3" s="749"/>
    </row>
    <row r="4" spans="1:34" ht="9" customHeight="1">
      <c r="A4" s="748"/>
      <c r="B4" s="748"/>
      <c r="C4" s="746"/>
      <c r="D4" s="746"/>
      <c r="E4" s="746"/>
      <c r="F4" s="746"/>
      <c r="G4" s="746"/>
      <c r="H4" s="746"/>
      <c r="I4" s="746"/>
      <c r="J4" s="746"/>
      <c r="K4" s="746"/>
      <c r="L4" s="746"/>
      <c r="M4" s="746"/>
      <c r="N4" s="746"/>
      <c r="O4" s="746"/>
      <c r="P4" s="746"/>
      <c r="Q4" s="746"/>
      <c r="R4" s="746"/>
      <c r="S4" s="746"/>
      <c r="T4" s="746"/>
      <c r="U4" s="746"/>
      <c r="V4" s="746"/>
      <c r="W4" s="746"/>
      <c r="X4" s="746"/>
      <c r="Y4" s="893"/>
      <c r="Z4" s="749"/>
      <c r="AA4" s="752"/>
      <c r="AB4" s="749"/>
      <c r="AC4" s="749"/>
      <c r="AD4" s="749"/>
    </row>
    <row r="5" spans="1:34" ht="9" customHeight="1">
      <c r="A5" s="748"/>
      <c r="B5" s="748"/>
      <c r="C5" s="746"/>
      <c r="D5" s="746"/>
      <c r="E5" s="746"/>
      <c r="F5" s="746"/>
      <c r="G5" s="746"/>
      <c r="H5" s="746"/>
      <c r="I5" s="746"/>
      <c r="J5" s="746"/>
      <c r="K5" s="746"/>
      <c r="L5" s="746"/>
      <c r="M5" s="746"/>
      <c r="N5" s="746"/>
      <c r="O5" s="746"/>
      <c r="P5" s="746"/>
      <c r="Q5" s="746"/>
      <c r="R5" s="746"/>
      <c r="S5" s="746"/>
      <c r="T5" s="746"/>
      <c r="U5" s="746"/>
      <c r="V5" s="746"/>
      <c r="W5" s="746"/>
      <c r="X5" s="746"/>
      <c r="Y5" s="893"/>
      <c r="Z5" s="749"/>
      <c r="AA5" s="752"/>
      <c r="AB5" s="749"/>
      <c r="AC5" s="749"/>
      <c r="AD5" s="749"/>
    </row>
    <row r="6" spans="1:34" ht="9" customHeight="1">
      <c r="A6" s="748"/>
      <c r="B6" s="748"/>
      <c r="C6" s="746"/>
      <c r="D6" s="746"/>
      <c r="E6" s="746"/>
      <c r="F6" s="746"/>
      <c r="G6" s="746"/>
      <c r="H6" s="746"/>
      <c r="I6" s="746"/>
      <c r="J6" s="746"/>
      <c r="K6" s="746"/>
      <c r="L6" s="746"/>
      <c r="M6" s="746"/>
      <c r="N6" s="746"/>
      <c r="O6" s="746"/>
      <c r="P6" s="746"/>
      <c r="Q6" s="746"/>
      <c r="R6" s="746"/>
      <c r="S6" s="746"/>
      <c r="T6" s="746"/>
      <c r="U6" s="746"/>
      <c r="V6" s="746"/>
      <c r="W6" s="746"/>
      <c r="X6" s="746"/>
      <c r="Y6" s="893"/>
      <c r="Z6" s="749"/>
      <c r="AA6" s="752"/>
      <c r="AB6" s="749"/>
      <c r="AC6" s="749"/>
      <c r="AD6" s="749"/>
    </row>
    <row r="7" spans="1:34" ht="9" customHeight="1">
      <c r="A7" s="748"/>
      <c r="B7" s="748"/>
      <c r="C7" s="746"/>
      <c r="D7" s="746"/>
      <c r="E7" s="746"/>
      <c r="F7" s="746"/>
      <c r="G7" s="746"/>
      <c r="H7" s="746"/>
      <c r="I7" s="746"/>
      <c r="J7" s="746"/>
      <c r="K7" s="746"/>
      <c r="L7" s="746"/>
      <c r="M7" s="746"/>
      <c r="N7" s="746"/>
      <c r="O7" s="746"/>
      <c r="P7" s="746"/>
      <c r="Q7" s="746"/>
      <c r="R7" s="746"/>
      <c r="S7" s="746"/>
      <c r="T7" s="746"/>
      <c r="U7" s="746"/>
      <c r="V7" s="746"/>
      <c r="W7" s="746"/>
      <c r="X7" s="746"/>
      <c r="Y7" s="893"/>
      <c r="Z7" s="749"/>
      <c r="AA7" s="752"/>
      <c r="AB7" s="749"/>
      <c r="AC7" s="749"/>
      <c r="AD7" s="749"/>
    </row>
    <row r="8" spans="1:34" ht="9" customHeight="1">
      <c r="A8" s="748"/>
      <c r="B8" s="748"/>
      <c r="C8" s="746"/>
      <c r="D8" s="746"/>
      <c r="E8" s="746"/>
      <c r="F8" s="746"/>
      <c r="G8" s="746"/>
      <c r="H8" s="746"/>
      <c r="I8" s="746"/>
      <c r="J8" s="746"/>
      <c r="K8" s="746"/>
      <c r="L8" s="746"/>
      <c r="M8" s="746"/>
      <c r="N8" s="746"/>
      <c r="O8" s="746"/>
      <c r="P8" s="746"/>
      <c r="Q8" s="746"/>
      <c r="R8" s="746"/>
      <c r="S8" s="746"/>
      <c r="T8" s="746"/>
      <c r="U8" s="746"/>
      <c r="V8" s="746"/>
      <c r="W8" s="746"/>
      <c r="X8" s="746"/>
      <c r="Y8" s="893"/>
      <c r="Z8" s="749"/>
      <c r="AA8" s="752"/>
      <c r="AB8" s="749"/>
      <c r="AC8" s="749"/>
      <c r="AD8" s="749"/>
    </row>
    <row r="9" spans="1:34" ht="9" customHeight="1">
      <c r="A9" s="748"/>
      <c r="B9" s="748"/>
      <c r="C9" s="746"/>
      <c r="D9" s="746"/>
      <c r="E9" s="746"/>
      <c r="F9" s="746"/>
      <c r="G9" s="746"/>
      <c r="H9" s="746"/>
      <c r="I9" s="746"/>
      <c r="J9" s="746"/>
      <c r="K9" s="746"/>
      <c r="L9" s="746"/>
      <c r="M9" s="746"/>
      <c r="N9" s="746"/>
      <c r="O9" s="746"/>
      <c r="P9" s="746"/>
      <c r="Q9" s="746"/>
      <c r="R9" s="746"/>
      <c r="S9" s="746"/>
      <c r="T9" s="746"/>
      <c r="U9" s="746"/>
      <c r="V9" s="746"/>
      <c r="W9" s="746"/>
      <c r="X9" s="746"/>
      <c r="Y9" s="893"/>
      <c r="Z9" s="749"/>
      <c r="AA9" s="752"/>
      <c r="AB9" s="749"/>
      <c r="AC9" s="749"/>
      <c r="AD9" s="749"/>
    </row>
    <row r="10" spans="1:34" ht="9" customHeight="1">
      <c r="A10" s="798"/>
      <c r="B10" s="798"/>
      <c r="C10" s="798"/>
      <c r="D10" s="798"/>
      <c r="E10" s="798"/>
      <c r="F10" s="798"/>
      <c r="G10" s="798"/>
      <c r="H10" s="798"/>
      <c r="I10" s="798"/>
      <c r="J10" s="798"/>
      <c r="K10" s="798"/>
      <c r="L10" s="798"/>
      <c r="M10" s="798"/>
      <c r="N10" s="798"/>
      <c r="O10" s="798"/>
      <c r="P10" s="798"/>
      <c r="Q10" s="798"/>
      <c r="R10" s="798"/>
      <c r="S10" s="798"/>
      <c r="T10" s="798"/>
      <c r="U10" s="798"/>
      <c r="V10" s="798"/>
      <c r="W10" s="798"/>
      <c r="X10" s="798"/>
      <c r="Y10" s="798"/>
      <c r="Z10" s="798"/>
      <c r="AA10" s="798"/>
      <c r="AB10" s="798"/>
      <c r="AC10" s="798"/>
      <c r="AD10" s="798"/>
    </row>
    <row r="11" spans="1:34" ht="45" customHeight="1">
      <c r="A11" s="2139" t="s">
        <v>28</v>
      </c>
      <c r="B11" s="798">
        <v>1</v>
      </c>
      <c r="C11" s="2145" t="s">
        <v>472</v>
      </c>
      <c r="D11" s="2145" t="s">
        <v>473</v>
      </c>
      <c r="E11" s="2145" t="s">
        <v>474</v>
      </c>
      <c r="F11" s="2145" t="s">
        <v>475</v>
      </c>
      <c r="G11" s="2145"/>
      <c r="H11" s="797" t="s">
        <v>476</v>
      </c>
      <c r="I11" s="797"/>
      <c r="J11" s="797"/>
      <c r="K11" s="797"/>
      <c r="L11" s="797"/>
      <c r="M11" s="747" t="str">
        <f>IF(TEMPLATE_SPHERE="HEAT",T11,U11)</f>
        <v>Количество поданных заявок</v>
      </c>
      <c r="N11" s="747"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46"/>
      <c r="P11" s="746"/>
      <c r="Q11" s="746"/>
      <c r="R11" s="746"/>
      <c r="S11" s="746"/>
      <c r="T11" s="746" t="s">
        <v>477</v>
      </c>
      <c r="U11" s="746" t="s">
        <v>478</v>
      </c>
      <c r="V11" s="746"/>
      <c r="W11" s="746"/>
      <c r="X11" s="746"/>
      <c r="Y11" s="893"/>
      <c r="Z11" s="749" t="s">
        <v>479</v>
      </c>
      <c r="AA11" s="75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49"/>
      <c r="AC11" s="749"/>
      <c r="AD11" s="749"/>
    </row>
    <row r="12" spans="1:34" ht="45" customHeight="1">
      <c r="A12" s="2139"/>
      <c r="B12" s="798">
        <v>2</v>
      </c>
      <c r="C12" s="2146"/>
      <c r="D12" s="2146"/>
      <c r="E12" s="2146"/>
      <c r="F12" s="2146"/>
      <c r="G12" s="2146"/>
      <c r="H12" s="797" t="s">
        <v>480</v>
      </c>
      <c r="I12" s="797"/>
      <c r="J12" s="797"/>
      <c r="K12" s="797"/>
      <c r="L12" s="797"/>
      <c r="M12" s="747" t="str">
        <f>IF(TEMPLATE_SPHERE="HEAT",T12,U12)</f>
        <v>Количество рассмотренных заявок</v>
      </c>
      <c r="N12" s="747"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46"/>
      <c r="P12" s="746"/>
      <c r="Q12" s="746"/>
      <c r="R12" s="746"/>
      <c r="S12" s="746"/>
      <c r="T12" s="746" t="s">
        <v>481</v>
      </c>
      <c r="U12" s="746" t="s">
        <v>482</v>
      </c>
      <c r="V12" s="746"/>
      <c r="W12" s="746"/>
      <c r="X12" s="746"/>
      <c r="Y12" s="893"/>
      <c r="Z12" s="749" t="s">
        <v>483</v>
      </c>
      <c r="AA12" s="75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49"/>
      <c r="AC12" s="749"/>
      <c r="AD12" s="749"/>
    </row>
    <row r="13" spans="1:34" ht="72" customHeight="1">
      <c r="A13" s="2139"/>
      <c r="B13" s="798">
        <v>3</v>
      </c>
      <c r="C13" s="2146"/>
      <c r="D13" s="2146"/>
      <c r="E13" s="2146"/>
      <c r="F13" s="2146"/>
      <c r="G13" s="2146"/>
      <c r="H13" s="2138" t="s">
        <v>484</v>
      </c>
      <c r="I13" s="797"/>
      <c r="J13" s="797"/>
      <c r="K13" s="797"/>
      <c r="L13" s="797"/>
      <c r="M13" s="747"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47" t="str">
        <f t="shared" si="0"/>
        <v>Указывается количество заявок с решением об отказе в течение отчетного квартала.</v>
      </c>
      <c r="O13" s="746"/>
      <c r="P13" s="747"/>
      <c r="Q13" s="747"/>
      <c r="R13" s="747"/>
      <c r="S13" s="746"/>
      <c r="T13" s="746" t="s">
        <v>485</v>
      </c>
      <c r="U13" s="747" t="s">
        <v>486</v>
      </c>
      <c r="V13" s="747"/>
      <c r="W13" s="747"/>
      <c r="X13" s="746"/>
      <c r="Y13" s="893"/>
      <c r="Z13" s="749" t="s">
        <v>487</v>
      </c>
      <c r="AA13" s="75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49"/>
      <c r="AC13" s="749"/>
      <c r="AD13" s="749"/>
    </row>
    <row r="14" spans="1:34" ht="45" customHeight="1">
      <c r="A14" s="2139"/>
      <c r="B14" s="798">
        <v>4</v>
      </c>
      <c r="C14" s="2146"/>
      <c r="D14" s="2146"/>
      <c r="E14" s="2146"/>
      <c r="F14" s="2146"/>
      <c r="G14" s="2146"/>
      <c r="H14" s="2138"/>
      <c r="I14" s="800"/>
      <c r="J14" s="800"/>
      <c r="K14" s="800"/>
      <c r="L14" s="800"/>
      <c r="M14" s="750" t="str">
        <f>IF(TEMPLATE_SPHERE="HEAT",T14,U14)</f>
        <v>Причины отказа в заключении договора о подключении (технологическом присоединении) к системе теплоснабжения</v>
      </c>
      <c r="N14" s="747"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46"/>
      <c r="P14" s="747"/>
      <c r="Q14" s="747"/>
      <c r="R14" s="747"/>
      <c r="S14" s="746"/>
      <c r="T14" s="746" t="s">
        <v>488</v>
      </c>
      <c r="U14" s="74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47"/>
      <c r="W14" s="747"/>
      <c r="X14" s="746"/>
      <c r="Y14" s="893"/>
      <c r="Z14" s="749" t="s">
        <v>489</v>
      </c>
      <c r="AA14" s="752" t="s">
        <v>489</v>
      </c>
      <c r="AB14" s="749"/>
      <c r="AC14" s="749"/>
      <c r="AD14" s="749"/>
    </row>
    <row r="15" spans="1:34" ht="108" customHeight="1">
      <c r="A15" s="2139"/>
      <c r="B15" s="798">
        <v>5</v>
      </c>
      <c r="C15" s="2146"/>
      <c r="D15" s="2146"/>
      <c r="E15" s="2146"/>
      <c r="F15" s="2146"/>
      <c r="G15" s="2146"/>
      <c r="H15" s="2140" t="s">
        <v>490</v>
      </c>
      <c r="I15" s="799"/>
      <c r="J15" s="799"/>
      <c r="K15" s="799"/>
      <c r="L15" s="799"/>
      <c r="M15" s="752" t="str">
        <f>IF(TEMPLATE_SPHERE="HEAT",T15,U15)</f>
        <v>Резерв мощности источников тепловой энергии, входящих в систему теплоснабжения, в течение одного квартала, в том числе:</v>
      </c>
      <c r="N15" s="751"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46"/>
      <c r="P15" s="747"/>
      <c r="Q15" s="747"/>
      <c r="R15" s="747"/>
      <c r="S15" s="746"/>
      <c r="T15" s="746" t="s">
        <v>491</v>
      </c>
      <c r="U15" s="74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47"/>
      <c r="W15" s="747"/>
      <c r="X15" s="746"/>
      <c r="Y15" s="893"/>
      <c r="Z15" s="749" t="s">
        <v>492</v>
      </c>
      <c r="AA15" s="75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49"/>
      <c r="AC15" s="749"/>
      <c r="AD15" s="749"/>
    </row>
    <row r="16" spans="1:34" ht="108" customHeight="1">
      <c r="A16" s="798"/>
      <c r="B16" s="798">
        <v>6</v>
      </c>
      <c r="C16" s="2147"/>
      <c r="D16" s="2147"/>
      <c r="E16" s="2147"/>
      <c r="F16" s="2147"/>
      <c r="G16" s="2147"/>
      <c r="H16" s="2141"/>
      <c r="I16" s="856"/>
      <c r="J16" s="856"/>
      <c r="K16" s="856"/>
      <c r="L16" s="856"/>
      <c r="M16" s="790"/>
      <c r="N16" s="751"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46"/>
      <c r="P16" s="747"/>
      <c r="Q16" s="747"/>
      <c r="R16" s="747"/>
      <c r="S16" s="746"/>
      <c r="T16" s="746"/>
      <c r="U16" s="747"/>
      <c r="V16" s="747"/>
      <c r="W16" s="747"/>
      <c r="X16" s="746"/>
      <c r="Y16" s="893"/>
      <c r="Z16" s="749" t="s">
        <v>492</v>
      </c>
      <c r="AA16" s="75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49"/>
      <c r="AC16" s="749"/>
      <c r="AD16" s="749"/>
    </row>
    <row r="17" spans="1:30" ht="9" customHeight="1">
      <c r="A17" s="798"/>
      <c r="B17" s="798"/>
      <c r="C17" s="798">
        <v>22</v>
      </c>
      <c r="D17" s="798">
        <v>21</v>
      </c>
      <c r="E17" s="798">
        <v>42</v>
      </c>
      <c r="F17" s="798">
        <v>63</v>
      </c>
      <c r="G17" s="798"/>
      <c r="H17" s="798"/>
      <c r="I17" s="798"/>
      <c r="J17" s="798"/>
      <c r="K17" s="798"/>
      <c r="L17" s="798"/>
      <c r="M17" s="798"/>
      <c r="N17" s="798"/>
      <c r="O17" s="798"/>
      <c r="P17" s="798"/>
      <c r="Q17" s="798"/>
      <c r="R17" s="798"/>
      <c r="S17" s="798"/>
      <c r="T17" s="798"/>
      <c r="U17" s="798"/>
      <c r="V17" s="798"/>
      <c r="W17" s="798"/>
      <c r="X17" s="798"/>
      <c r="Y17" s="798"/>
      <c r="Z17" s="798"/>
      <c r="AA17" s="798"/>
      <c r="AB17" s="798"/>
      <c r="AC17" s="798"/>
      <c r="AD17" s="798"/>
    </row>
    <row r="18" spans="1:30" ht="27" customHeight="1">
      <c r="A18" s="748" t="s">
        <v>493</v>
      </c>
      <c r="B18" s="798">
        <v>1</v>
      </c>
      <c r="C18" s="746" t="s">
        <v>476</v>
      </c>
      <c r="D18" s="861" t="s">
        <v>476</v>
      </c>
      <c r="E18" s="746" t="s">
        <v>476</v>
      </c>
      <c r="F18" s="746" t="s">
        <v>476</v>
      </c>
      <c r="G18" s="746"/>
      <c r="H18" s="894"/>
      <c r="I18" s="897">
        <f t="shared" ref="I18:I49" si="1">INDEX(TEMPLATE_NUMBER_POINT_FHD,B18,MATCH(TEMPLATE_SPHERE,TEMPLATE_SPHERE_LIST_FOR_NOTE,0))</f>
        <v>1</v>
      </c>
      <c r="J18" s="897" t="str">
        <f t="shared" ref="J18:J49" si="2">INDEX(TEMPLATE_DATA_POINT_FHD,B18,MATCH(TEMPLATE_SPHERE,TEMPLATE_SPHERE_LIST_FOR_NOTE,0))</f>
        <v>Выручка от регулируемого вида деятельности с распределением по видам деятельности</v>
      </c>
      <c r="K18" s="897"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47">
        <f t="shared" ref="L18:L49" si="4">IF(I18=0,"",I18)</f>
        <v>1</v>
      </c>
      <c r="M18" s="747" t="str">
        <f t="shared" ref="M18:M49" si="5">IF(J18=0,"",J18)</f>
        <v>Выручка от регулируемого вида деятельности с распределением по видам деятельности</v>
      </c>
      <c r="N18" s="747" t="str">
        <f t="shared" ref="N18:N49" si="6">IF(K18=0,"",K18)</f>
        <v>Указывается выручка от регулируемого вида деятельности с распределением по видам деятельности.</v>
      </c>
      <c r="O18" s="851">
        <v>1</v>
      </c>
      <c r="P18" s="851">
        <v>1</v>
      </c>
      <c r="Q18" s="851">
        <v>1</v>
      </c>
      <c r="R18" s="851">
        <v>1</v>
      </c>
      <c r="S18" s="851"/>
      <c r="T18" s="858" t="s">
        <v>494</v>
      </c>
      <c r="U18" s="749" t="s">
        <v>495</v>
      </c>
      <c r="V18" s="749" t="s">
        <v>496</v>
      </c>
      <c r="W18" s="749" t="s">
        <v>497</v>
      </c>
      <c r="X18" s="746"/>
      <c r="Y18" s="893"/>
      <c r="Z18" s="749" t="s">
        <v>498</v>
      </c>
      <c r="AA18" s="752" t="s">
        <v>499</v>
      </c>
      <c r="AB18" s="752" t="s">
        <v>499</v>
      </c>
      <c r="AC18" s="752" t="s">
        <v>499</v>
      </c>
      <c r="AD18" s="749"/>
    </row>
    <row r="19" spans="1:30" ht="36" customHeight="1">
      <c r="A19" s="748"/>
      <c r="B19" s="798">
        <v>2</v>
      </c>
      <c r="C19" s="746" t="s">
        <v>480</v>
      </c>
      <c r="D19" s="861" t="s">
        <v>480</v>
      </c>
      <c r="E19" s="746" t="s">
        <v>480</v>
      </c>
      <c r="F19" s="746" t="s">
        <v>480</v>
      </c>
      <c r="G19" s="746"/>
      <c r="H19" s="894"/>
      <c r="I19" s="897">
        <f t="shared" si="1"/>
        <v>2</v>
      </c>
      <c r="J19" s="897" t="str">
        <f t="shared" si="2"/>
        <v>Себестоимость производимых товаров (оказываемых услуг) по регулируемому виду деятельности, включая:</v>
      </c>
      <c r="K19" s="897" t="str">
        <f t="shared" si="3"/>
        <v>Указывается суммарная себестоимость производимых товаров.</v>
      </c>
      <c r="L19" s="747">
        <f t="shared" si="4"/>
        <v>2</v>
      </c>
      <c r="M19" s="747" t="str">
        <f t="shared" si="5"/>
        <v>Себестоимость производимых товаров (оказываемых услуг) по регулируемому виду деятельности, включая:</v>
      </c>
      <c r="N19" s="747" t="str">
        <f t="shared" si="6"/>
        <v>Указывается суммарная себестоимость производимых товаров.</v>
      </c>
      <c r="O19" s="851">
        <v>2</v>
      </c>
      <c r="P19" s="851">
        <v>2</v>
      </c>
      <c r="Q19" s="851">
        <v>2</v>
      </c>
      <c r="R19" s="851">
        <v>2</v>
      </c>
      <c r="S19" s="851"/>
      <c r="T19" s="858" t="s">
        <v>500</v>
      </c>
      <c r="U19" s="749" t="s">
        <v>501</v>
      </c>
      <c r="V19" s="749" t="s">
        <v>502</v>
      </c>
      <c r="W19" s="749" t="s">
        <v>503</v>
      </c>
      <c r="X19" s="746"/>
      <c r="Y19" s="893"/>
      <c r="Z19" s="749" t="s">
        <v>504</v>
      </c>
      <c r="AA19" s="752" t="s">
        <v>504</v>
      </c>
      <c r="AB19" s="752" t="s">
        <v>504</v>
      </c>
      <c r="AC19" s="752" t="s">
        <v>504</v>
      </c>
      <c r="AD19" s="749"/>
    </row>
    <row r="20" spans="1:30" ht="27" customHeight="1">
      <c r="A20" s="748"/>
      <c r="B20" s="798">
        <v>3</v>
      </c>
      <c r="C20" s="746">
        <v>1</v>
      </c>
      <c r="D20" s="861"/>
      <c r="E20" s="746"/>
      <c r="F20" s="746"/>
      <c r="G20" s="746"/>
      <c r="H20" s="894"/>
      <c r="I20" s="897" t="str">
        <f t="shared" si="1"/>
        <v>2.1</v>
      </c>
      <c r="J20" s="897" t="str">
        <f t="shared" si="2"/>
        <v>Расходы на приобретаемую тепловую энергию (мощность), теплоноситель</v>
      </c>
      <c r="K20" s="897">
        <f t="shared" si="3"/>
        <v>0</v>
      </c>
      <c r="L20" s="747" t="str">
        <f t="shared" si="4"/>
        <v>2.1</v>
      </c>
      <c r="M20" s="747" t="str">
        <f t="shared" si="5"/>
        <v>Расходы на приобретаемую тепловую энергию (мощность), теплоноситель</v>
      </c>
      <c r="N20" s="747" t="str">
        <f t="shared" si="6"/>
        <v/>
      </c>
      <c r="O20" s="851" t="s">
        <v>505</v>
      </c>
      <c r="P20" s="851" t="s">
        <v>505</v>
      </c>
      <c r="Q20" s="851" t="s">
        <v>505</v>
      </c>
      <c r="R20" s="851" t="s">
        <v>505</v>
      </c>
      <c r="S20" s="851"/>
      <c r="T20" s="858" t="s">
        <v>506</v>
      </c>
      <c r="U20" s="749" t="s">
        <v>507</v>
      </c>
      <c r="V20" s="749" t="s">
        <v>508</v>
      </c>
      <c r="W20" s="749" t="s">
        <v>509</v>
      </c>
      <c r="X20" s="746"/>
      <c r="Y20" s="893"/>
      <c r="Z20" s="749"/>
      <c r="AA20" s="752"/>
      <c r="AB20" s="749"/>
      <c r="AC20" s="749"/>
      <c r="AD20" s="749"/>
    </row>
    <row r="21" spans="1:30" ht="36" customHeight="1">
      <c r="A21" s="748"/>
      <c r="B21" s="798">
        <v>4</v>
      </c>
      <c r="C21" s="746">
        <v>2</v>
      </c>
      <c r="D21" s="861"/>
      <c r="E21" s="746"/>
      <c r="F21" s="746"/>
      <c r="G21" s="746"/>
      <c r="H21" s="894"/>
      <c r="I21" s="897" t="str">
        <f t="shared" si="1"/>
        <v>2.2</v>
      </c>
      <c r="J21" s="897"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897" t="str">
        <f t="shared" si="3"/>
        <v>Указываются суммарные расходы на приобретение топлива всех видов.</v>
      </c>
      <c r="L21" s="747" t="str">
        <f t="shared" si="4"/>
        <v>2.2</v>
      </c>
      <c r="M21" s="747"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47" t="str">
        <f t="shared" si="6"/>
        <v>Указываются суммарные расходы на приобретение топлива всех видов.</v>
      </c>
      <c r="O21" s="851" t="s">
        <v>299</v>
      </c>
      <c r="P21" s="851"/>
      <c r="Q21" s="851"/>
      <c r="R21" s="851"/>
      <c r="S21" s="851"/>
      <c r="T21" s="858" t="s">
        <v>510</v>
      </c>
      <c r="U21" s="749"/>
      <c r="V21" s="749"/>
      <c r="W21" s="749"/>
      <c r="X21" s="746"/>
      <c r="Y21" s="893"/>
      <c r="Z21" s="749" t="s">
        <v>511</v>
      </c>
      <c r="AA21" s="752"/>
      <c r="AB21" s="749"/>
      <c r="AC21" s="749"/>
      <c r="AD21" s="749"/>
    </row>
    <row r="22" spans="1:30" ht="36" customHeight="1">
      <c r="A22" s="748"/>
      <c r="B22" s="798">
        <v>5</v>
      </c>
      <c r="C22" s="746">
        <v>3</v>
      </c>
      <c r="D22" s="861"/>
      <c r="E22" s="746"/>
      <c r="F22" s="746"/>
      <c r="G22" s="789"/>
      <c r="H22" s="852"/>
      <c r="I22" s="897">
        <f t="shared" si="1"/>
        <v>0</v>
      </c>
      <c r="J22" s="897">
        <f t="shared" si="2"/>
        <v>0</v>
      </c>
      <c r="K22" s="897">
        <f t="shared" si="3"/>
        <v>0</v>
      </c>
      <c r="L22" s="747" t="str">
        <f t="shared" si="4"/>
        <v/>
      </c>
      <c r="M22" s="747" t="str">
        <f t="shared" si="5"/>
        <v/>
      </c>
      <c r="N22" s="747" t="str">
        <f t="shared" si="6"/>
        <v/>
      </c>
      <c r="O22" s="851"/>
      <c r="P22" s="851"/>
      <c r="Q22" s="851" t="s">
        <v>299</v>
      </c>
      <c r="R22" s="851"/>
      <c r="S22" s="851"/>
      <c r="T22" s="858"/>
      <c r="U22" s="749"/>
      <c r="V22" s="749" t="s">
        <v>512</v>
      </c>
      <c r="W22" s="749"/>
      <c r="X22" s="746"/>
      <c r="Y22" s="893"/>
      <c r="Z22" s="749"/>
      <c r="AA22" s="752"/>
      <c r="AB22" s="749"/>
      <c r="AC22" s="749"/>
      <c r="AD22" s="749"/>
    </row>
    <row r="23" spans="1:30" ht="27" customHeight="1">
      <c r="A23" s="748"/>
      <c r="B23" s="798">
        <v>6</v>
      </c>
      <c r="C23" s="746">
        <v>4</v>
      </c>
      <c r="D23" s="861"/>
      <c r="E23" s="746"/>
      <c r="F23" s="746"/>
      <c r="G23" s="789"/>
      <c r="H23" s="852"/>
      <c r="I23" s="897">
        <f t="shared" si="1"/>
        <v>0</v>
      </c>
      <c r="J23" s="897">
        <f t="shared" si="2"/>
        <v>0</v>
      </c>
      <c r="K23" s="897">
        <f t="shared" si="3"/>
        <v>0</v>
      </c>
      <c r="L23" s="747" t="str">
        <f t="shared" si="4"/>
        <v/>
      </c>
      <c r="M23" s="747" t="str">
        <f t="shared" si="5"/>
        <v/>
      </c>
      <c r="N23" s="747" t="str">
        <f t="shared" si="6"/>
        <v/>
      </c>
      <c r="O23" s="851"/>
      <c r="P23" s="851"/>
      <c r="Q23" s="851" t="s">
        <v>302</v>
      </c>
      <c r="R23" s="851"/>
      <c r="S23" s="851"/>
      <c r="T23" s="858"/>
      <c r="U23" s="749"/>
      <c r="V23" s="749" t="s">
        <v>513</v>
      </c>
      <c r="W23" s="749"/>
      <c r="X23" s="746"/>
      <c r="Y23" s="893"/>
      <c r="Z23" s="749"/>
      <c r="AA23" s="752"/>
      <c r="AB23" s="749"/>
      <c r="AC23" s="749"/>
      <c r="AD23" s="749"/>
    </row>
    <row r="24" spans="1:30" ht="36" customHeight="1">
      <c r="A24" s="748"/>
      <c r="B24" s="798">
        <v>7</v>
      </c>
      <c r="C24" s="746">
        <v>5</v>
      </c>
      <c r="D24" s="861"/>
      <c r="E24" s="746"/>
      <c r="F24" s="746"/>
      <c r="G24" s="789"/>
      <c r="H24" s="852"/>
      <c r="I24" s="897">
        <f t="shared" si="1"/>
        <v>0</v>
      </c>
      <c r="J24" s="897">
        <f t="shared" si="2"/>
        <v>0</v>
      </c>
      <c r="K24" s="897">
        <f t="shared" si="3"/>
        <v>0</v>
      </c>
      <c r="L24" s="747" t="str">
        <f t="shared" si="4"/>
        <v/>
      </c>
      <c r="M24" s="747" t="str">
        <f t="shared" si="5"/>
        <v/>
      </c>
      <c r="N24" s="747" t="str">
        <f t="shared" si="6"/>
        <v/>
      </c>
      <c r="O24" s="851"/>
      <c r="P24" s="851"/>
      <c r="Q24" s="851" t="s">
        <v>514</v>
      </c>
      <c r="R24" s="851"/>
      <c r="S24" s="851"/>
      <c r="T24" s="858"/>
      <c r="U24" s="749"/>
      <c r="V24" s="749" t="s">
        <v>515</v>
      </c>
      <c r="W24" s="749"/>
      <c r="X24" s="746"/>
      <c r="Y24" s="893"/>
      <c r="Z24" s="749"/>
      <c r="AA24" s="752"/>
      <c r="AB24" s="749"/>
      <c r="AC24" s="749"/>
      <c r="AD24" s="749"/>
    </row>
    <row r="25" spans="1:30" ht="36" customHeight="1">
      <c r="A25" s="748"/>
      <c r="B25" s="798">
        <v>8</v>
      </c>
      <c r="C25" s="746">
        <v>6</v>
      </c>
      <c r="D25" s="861"/>
      <c r="E25" s="746"/>
      <c r="F25" s="746"/>
      <c r="G25" s="789"/>
      <c r="H25" s="852"/>
      <c r="I25" s="897" t="str">
        <f t="shared" si="1"/>
        <v>2.3</v>
      </c>
      <c r="J25" s="897" t="str">
        <f t="shared" si="2"/>
        <v>Расходы на приобретаемую электрическую энергию (мощность), используемую в технологическом процессе</v>
      </c>
      <c r="K25" s="897">
        <f t="shared" si="3"/>
        <v>0</v>
      </c>
      <c r="L25" s="747" t="str">
        <f t="shared" si="4"/>
        <v>2.3</v>
      </c>
      <c r="M25" s="747" t="str">
        <f t="shared" si="5"/>
        <v>Расходы на приобретаемую электрическую энергию (мощность), используемую в технологическом процессе</v>
      </c>
      <c r="N25" s="747" t="str">
        <f t="shared" si="6"/>
        <v/>
      </c>
      <c r="O25" s="851" t="s">
        <v>302</v>
      </c>
      <c r="P25" s="851" t="s">
        <v>299</v>
      </c>
      <c r="Q25" s="851" t="s">
        <v>516</v>
      </c>
      <c r="R25" s="851" t="s">
        <v>299</v>
      </c>
      <c r="S25" s="851"/>
      <c r="T25" s="858" t="s">
        <v>517</v>
      </c>
      <c r="U25" s="749" t="s">
        <v>517</v>
      </c>
      <c r="V25" s="749" t="s">
        <v>517</v>
      </c>
      <c r="W25" s="749" t="s">
        <v>517</v>
      </c>
      <c r="X25" s="746"/>
      <c r="Y25" s="893"/>
      <c r="Z25" s="749"/>
      <c r="AA25" s="752"/>
      <c r="AB25" s="749"/>
      <c r="AC25" s="749"/>
      <c r="AD25" s="749"/>
    </row>
    <row r="26" spans="1:30" ht="18" customHeight="1">
      <c r="A26" s="748"/>
      <c r="B26" s="798">
        <v>9</v>
      </c>
      <c r="C26" s="746" t="s">
        <v>518</v>
      </c>
      <c r="D26" s="861"/>
      <c r="E26" s="746"/>
      <c r="F26" s="746"/>
      <c r="G26" s="789"/>
      <c r="H26" s="852"/>
      <c r="I26" s="897" t="str">
        <f t="shared" si="1"/>
        <v>2.3.1</v>
      </c>
      <c r="J26" s="897" t="str">
        <f t="shared" si="2"/>
        <v>Средневзвешенная стоимость 1 кВт.ч (с учетом мощности)</v>
      </c>
      <c r="K26" s="897">
        <f t="shared" si="3"/>
        <v>0</v>
      </c>
      <c r="L26" s="747" t="str">
        <f t="shared" si="4"/>
        <v>2.3.1</v>
      </c>
      <c r="M26" s="747" t="str">
        <f t="shared" si="5"/>
        <v>Средневзвешенная стоимость 1 кВт.ч (с учетом мощности)</v>
      </c>
      <c r="N26" s="747" t="str">
        <f t="shared" si="6"/>
        <v/>
      </c>
      <c r="O26" s="851" t="s">
        <v>519</v>
      </c>
      <c r="P26" s="851" t="s">
        <v>520</v>
      </c>
      <c r="Q26" s="851" t="s">
        <v>521</v>
      </c>
      <c r="R26" s="851" t="s">
        <v>520</v>
      </c>
      <c r="S26" s="851"/>
      <c r="T26" s="858" t="s">
        <v>522</v>
      </c>
      <c r="U26" s="858" t="s">
        <v>522</v>
      </c>
      <c r="V26" s="858" t="s">
        <v>522</v>
      </c>
      <c r="W26" s="858" t="s">
        <v>522</v>
      </c>
      <c r="X26" s="746"/>
      <c r="Y26" s="893"/>
      <c r="Z26" s="749"/>
      <c r="AA26" s="752"/>
      <c r="AB26" s="749"/>
      <c r="AC26" s="749"/>
      <c r="AD26" s="749"/>
    </row>
    <row r="27" spans="1:30" ht="18" customHeight="1">
      <c r="A27" s="748"/>
      <c r="B27" s="798">
        <v>10</v>
      </c>
      <c r="C27" s="746" t="s">
        <v>523</v>
      </c>
      <c r="D27" s="861"/>
      <c r="E27" s="746"/>
      <c r="F27" s="746"/>
      <c r="G27" s="789"/>
      <c r="H27" s="852"/>
      <c r="I27" s="897" t="str">
        <f t="shared" si="1"/>
        <v>2.3.2</v>
      </c>
      <c r="J27" s="897" t="str">
        <f t="shared" si="2"/>
        <v>Объём приобретения электрической энергии</v>
      </c>
      <c r="K27" s="897">
        <f t="shared" si="3"/>
        <v>0</v>
      </c>
      <c r="L27" s="747" t="str">
        <f t="shared" si="4"/>
        <v>2.3.2</v>
      </c>
      <c r="M27" s="747" t="str">
        <f t="shared" si="5"/>
        <v>Объём приобретения электрической энергии</v>
      </c>
      <c r="N27" s="747" t="str">
        <f t="shared" si="6"/>
        <v/>
      </c>
      <c r="O27" s="851" t="s">
        <v>524</v>
      </c>
      <c r="P27" s="851" t="s">
        <v>525</v>
      </c>
      <c r="Q27" s="851" t="s">
        <v>526</v>
      </c>
      <c r="R27" s="851" t="s">
        <v>525</v>
      </c>
      <c r="S27" s="851"/>
      <c r="T27" s="858" t="s">
        <v>527</v>
      </c>
      <c r="U27" s="858" t="s">
        <v>527</v>
      </c>
      <c r="V27" s="858" t="s">
        <v>527</v>
      </c>
      <c r="W27" s="858" t="s">
        <v>527</v>
      </c>
      <c r="X27" s="746"/>
      <c r="Y27" s="893"/>
      <c r="Z27" s="749"/>
      <c r="AA27" s="752"/>
      <c r="AB27" s="749"/>
      <c r="AC27" s="749"/>
      <c r="AD27" s="749"/>
    </row>
    <row r="28" spans="1:30" ht="27" customHeight="1">
      <c r="A28" s="748"/>
      <c r="B28" s="798">
        <v>11</v>
      </c>
      <c r="C28" s="746">
        <v>7</v>
      </c>
      <c r="D28" s="861"/>
      <c r="E28" s="746"/>
      <c r="F28" s="746"/>
      <c r="G28" s="789"/>
      <c r="H28" s="852"/>
      <c r="I28" s="897" t="str">
        <f t="shared" si="1"/>
        <v>2.4</v>
      </c>
      <c r="J28" s="897" t="str">
        <f t="shared" si="2"/>
        <v>Расходы на приобретение холодной воды, используемой в технологическом процессе</v>
      </c>
      <c r="K28" s="897">
        <f t="shared" si="3"/>
        <v>0</v>
      </c>
      <c r="L28" s="747" t="str">
        <f t="shared" si="4"/>
        <v>2.4</v>
      </c>
      <c r="M28" s="747" t="str">
        <f t="shared" si="5"/>
        <v>Расходы на приобретение холодной воды, используемой в технологическом процессе</v>
      </c>
      <c r="N28" s="747" t="str">
        <f t="shared" si="6"/>
        <v/>
      </c>
      <c r="O28" s="851" t="s">
        <v>514</v>
      </c>
      <c r="P28" s="851"/>
      <c r="Q28" s="851"/>
      <c r="R28" s="851"/>
      <c r="S28" s="851"/>
      <c r="T28" s="858" t="s">
        <v>528</v>
      </c>
      <c r="U28" s="749"/>
      <c r="V28" s="749"/>
      <c r="W28" s="749"/>
      <c r="X28" s="746"/>
      <c r="Y28" s="893"/>
      <c r="Z28" s="749"/>
      <c r="AA28" s="752"/>
      <c r="AB28" s="749"/>
      <c r="AC28" s="749"/>
      <c r="AD28" s="749"/>
    </row>
    <row r="29" spans="1:30" ht="27" customHeight="1">
      <c r="A29" s="748"/>
      <c r="B29" s="798">
        <v>12</v>
      </c>
      <c r="C29" s="746">
        <v>8</v>
      </c>
      <c r="D29" s="861"/>
      <c r="E29" s="746"/>
      <c r="F29" s="746"/>
      <c r="G29" s="789"/>
      <c r="H29" s="852"/>
      <c r="I29" s="897" t="str">
        <f t="shared" si="1"/>
        <v>2.5</v>
      </c>
      <c r="J29" s="897" t="str">
        <f t="shared" si="2"/>
        <v>Расходы на химические реагенты, используемые в технологическом процессе</v>
      </c>
      <c r="K29" s="897">
        <f t="shared" si="3"/>
        <v>0</v>
      </c>
      <c r="L29" s="747" t="str">
        <f t="shared" si="4"/>
        <v>2.5</v>
      </c>
      <c r="M29" s="747" t="str">
        <f t="shared" si="5"/>
        <v>Расходы на химические реагенты, используемые в технологическом процессе</v>
      </c>
      <c r="N29" s="747" t="str">
        <f t="shared" si="6"/>
        <v/>
      </c>
      <c r="O29" s="851" t="s">
        <v>516</v>
      </c>
      <c r="P29" s="851" t="s">
        <v>302</v>
      </c>
      <c r="Q29" s="851"/>
      <c r="R29" s="851" t="s">
        <v>302</v>
      </c>
      <c r="S29" s="851"/>
      <c r="T29" s="858" t="s">
        <v>529</v>
      </c>
      <c r="U29" s="749" t="s">
        <v>529</v>
      </c>
      <c r="V29" s="749"/>
      <c r="W29" s="749" t="s">
        <v>529</v>
      </c>
      <c r="X29" s="746"/>
      <c r="Y29" s="893"/>
      <c r="Z29" s="749"/>
      <c r="AA29" s="752"/>
      <c r="AB29" s="749"/>
      <c r="AC29" s="749"/>
      <c r="AD29" s="749"/>
    </row>
    <row r="30" spans="1:30" ht="54" customHeight="1">
      <c r="A30" s="748"/>
      <c r="B30" s="798">
        <v>13</v>
      </c>
      <c r="C30" s="746">
        <v>9</v>
      </c>
      <c r="D30" s="861"/>
      <c r="E30" s="746"/>
      <c r="F30" s="746"/>
      <c r="G30" s="789"/>
      <c r="H30" s="852"/>
      <c r="I30" s="897" t="str">
        <f t="shared" si="1"/>
        <v>2.6</v>
      </c>
      <c r="J30" s="897"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897">
        <f t="shared" si="3"/>
        <v>0</v>
      </c>
      <c r="L30" s="747" t="str">
        <f t="shared" si="4"/>
        <v>2.6</v>
      </c>
      <c r="M30" s="747"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47" t="str">
        <f t="shared" si="6"/>
        <v/>
      </c>
      <c r="O30" s="851" t="s">
        <v>530</v>
      </c>
      <c r="P30" s="851" t="s">
        <v>514</v>
      </c>
      <c r="Q30" s="851" t="s">
        <v>530</v>
      </c>
      <c r="R30" s="851" t="s">
        <v>514</v>
      </c>
      <c r="S30" s="851"/>
      <c r="T30" s="858" t="s">
        <v>531</v>
      </c>
      <c r="U30" s="749" t="s">
        <v>531</v>
      </c>
      <c r="V30" s="749" t="s">
        <v>531</v>
      </c>
      <c r="W30" s="749" t="s">
        <v>531</v>
      </c>
      <c r="X30" s="746"/>
      <c r="Y30" s="893"/>
      <c r="Z30" s="749"/>
      <c r="AA30" s="752" t="s">
        <v>532</v>
      </c>
      <c r="AB30" s="752" t="s">
        <v>532</v>
      </c>
      <c r="AC30" s="752" t="s">
        <v>532</v>
      </c>
      <c r="AD30" s="749"/>
    </row>
    <row r="31" spans="1:30" ht="18" customHeight="1">
      <c r="A31" s="748"/>
      <c r="B31" s="798">
        <v>14</v>
      </c>
      <c r="C31" s="746" t="s">
        <v>533</v>
      </c>
      <c r="D31" s="861"/>
      <c r="E31" s="746"/>
      <c r="F31" s="746"/>
      <c r="G31" s="789"/>
      <c r="H31" s="852"/>
      <c r="I31" s="897" t="str">
        <f t="shared" si="1"/>
        <v>2.6.1</v>
      </c>
      <c r="J31" s="897" t="str">
        <f t="shared" si="2"/>
        <v>Расходы на оплату труда основного производственного персонала</v>
      </c>
      <c r="K31" s="897">
        <f t="shared" si="3"/>
        <v>0</v>
      </c>
      <c r="L31" s="747" t="str">
        <f t="shared" si="4"/>
        <v>2.6.1</v>
      </c>
      <c r="M31" s="747" t="str">
        <f t="shared" si="5"/>
        <v>Расходы на оплату труда основного производственного персонала</v>
      </c>
      <c r="N31" s="747" t="str">
        <f t="shared" si="6"/>
        <v/>
      </c>
      <c r="O31" s="851" t="s">
        <v>534</v>
      </c>
      <c r="P31" s="851" t="s">
        <v>535</v>
      </c>
      <c r="Q31" s="851" t="s">
        <v>534</v>
      </c>
      <c r="R31" s="851" t="s">
        <v>535</v>
      </c>
      <c r="S31" s="851"/>
      <c r="T31" s="859" t="s">
        <v>536</v>
      </c>
      <c r="U31" s="749" t="s">
        <v>536</v>
      </c>
      <c r="V31" s="749" t="s">
        <v>536</v>
      </c>
      <c r="W31" s="749" t="s">
        <v>536</v>
      </c>
      <c r="X31" s="746"/>
      <c r="Y31" s="893"/>
      <c r="Z31" s="749"/>
      <c r="AA31" s="752"/>
      <c r="AB31" s="752"/>
      <c r="AC31" s="752"/>
      <c r="AD31" s="749"/>
    </row>
    <row r="32" spans="1:30" ht="36" customHeight="1">
      <c r="A32" s="748"/>
      <c r="B32" s="798">
        <v>15</v>
      </c>
      <c r="C32" s="746" t="s">
        <v>537</v>
      </c>
      <c r="D32" s="861"/>
      <c r="E32" s="746"/>
      <c r="F32" s="746"/>
      <c r="G32" s="789"/>
      <c r="H32" s="852"/>
      <c r="I32" s="897" t="str">
        <f t="shared" si="1"/>
        <v>2.6.2</v>
      </c>
      <c r="J32" s="897" t="str">
        <f t="shared" si="2"/>
        <v>Страховые взносы на обязательное социальное страхование, выплачиваемые из фонда оплаты труда основного производственного персонала</v>
      </c>
      <c r="K32" s="897">
        <f t="shared" si="3"/>
        <v>0</v>
      </c>
      <c r="L32" s="747" t="str">
        <f t="shared" si="4"/>
        <v>2.6.2</v>
      </c>
      <c r="M32" s="747" t="str">
        <f t="shared" si="5"/>
        <v>Страховые взносы на обязательное социальное страхование, выплачиваемые из фонда оплаты труда основного производственного персонала</v>
      </c>
      <c r="N32" s="747" t="str">
        <f t="shared" si="6"/>
        <v/>
      </c>
      <c r="O32" s="851" t="s">
        <v>538</v>
      </c>
      <c r="P32" s="851" t="s">
        <v>539</v>
      </c>
      <c r="Q32" s="851" t="s">
        <v>538</v>
      </c>
      <c r="R32" s="851" t="s">
        <v>539</v>
      </c>
      <c r="S32" s="851"/>
      <c r="T32" s="860" t="s">
        <v>540</v>
      </c>
      <c r="U32" s="749" t="s">
        <v>540</v>
      </c>
      <c r="V32" s="749" t="s">
        <v>540</v>
      </c>
      <c r="W32" s="749" t="s">
        <v>540</v>
      </c>
      <c r="X32" s="746"/>
      <c r="Y32" s="893"/>
      <c r="Z32" s="749"/>
      <c r="AA32" s="752"/>
      <c r="AB32" s="752"/>
      <c r="AC32" s="752"/>
      <c r="AD32" s="749"/>
    </row>
    <row r="33" spans="1:30" ht="45" customHeight="1">
      <c r="A33" s="748"/>
      <c r="B33" s="798">
        <v>16</v>
      </c>
      <c r="C33" s="746">
        <v>10</v>
      </c>
      <c r="D33" s="861"/>
      <c r="E33" s="746"/>
      <c r="F33" s="746"/>
      <c r="G33" s="789"/>
      <c r="H33" s="852"/>
      <c r="I33" s="897" t="str">
        <f t="shared" si="1"/>
        <v>2.7</v>
      </c>
      <c r="J33" s="897"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897">
        <f t="shared" si="3"/>
        <v>0</v>
      </c>
      <c r="L33" s="747" t="str">
        <f t="shared" si="4"/>
        <v>2.7</v>
      </c>
      <c r="M33" s="747"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47" t="str">
        <f t="shared" si="6"/>
        <v/>
      </c>
      <c r="O33" s="851" t="s">
        <v>541</v>
      </c>
      <c r="P33" s="851" t="s">
        <v>516</v>
      </c>
      <c r="Q33" s="851" t="s">
        <v>541</v>
      </c>
      <c r="R33" s="851" t="s">
        <v>516</v>
      </c>
      <c r="S33" s="851"/>
      <c r="T33" s="859" t="s">
        <v>542</v>
      </c>
      <c r="U33" s="749" t="s">
        <v>542</v>
      </c>
      <c r="V33" s="749" t="s">
        <v>542</v>
      </c>
      <c r="W33" s="749" t="s">
        <v>543</v>
      </c>
      <c r="X33" s="746"/>
      <c r="Y33" s="893"/>
      <c r="Z33" s="749"/>
      <c r="AA33" s="752" t="s">
        <v>544</v>
      </c>
      <c r="AB33" s="752" t="s">
        <v>544</v>
      </c>
      <c r="AC33" s="752" t="s">
        <v>544</v>
      </c>
      <c r="AD33" s="749"/>
    </row>
    <row r="34" spans="1:30" ht="27" customHeight="1">
      <c r="A34" s="748"/>
      <c r="B34" s="798">
        <v>17</v>
      </c>
      <c r="C34" s="746" t="s">
        <v>545</v>
      </c>
      <c r="D34" s="861"/>
      <c r="E34" s="746"/>
      <c r="F34" s="746"/>
      <c r="G34" s="789"/>
      <c r="H34" s="852"/>
      <c r="I34" s="897" t="str">
        <f t="shared" si="1"/>
        <v>2.7.1</v>
      </c>
      <c r="J34" s="897" t="str">
        <f t="shared" si="2"/>
        <v>Расходы на оплату труда административно-управленческого персонала</v>
      </c>
      <c r="K34" s="897">
        <f t="shared" si="3"/>
        <v>0</v>
      </c>
      <c r="L34" s="747" t="str">
        <f t="shared" si="4"/>
        <v>2.7.1</v>
      </c>
      <c r="M34" s="747" t="str">
        <f t="shared" si="5"/>
        <v>Расходы на оплату труда административно-управленческого персонала</v>
      </c>
      <c r="N34" s="747" t="str">
        <f t="shared" si="6"/>
        <v/>
      </c>
      <c r="O34" s="851" t="s">
        <v>546</v>
      </c>
      <c r="P34" s="851" t="s">
        <v>521</v>
      </c>
      <c r="Q34" s="851" t="s">
        <v>546</v>
      </c>
      <c r="R34" s="851" t="s">
        <v>521</v>
      </c>
      <c r="S34" s="851"/>
      <c r="T34" s="860" t="s">
        <v>547</v>
      </c>
      <c r="U34" s="749" t="s">
        <v>547</v>
      </c>
      <c r="V34" s="749" t="s">
        <v>547</v>
      </c>
      <c r="W34" s="749" t="s">
        <v>548</v>
      </c>
      <c r="X34" s="746"/>
      <c r="Y34" s="893"/>
      <c r="Z34" s="749"/>
      <c r="AA34" s="752"/>
      <c r="AB34" s="749"/>
      <c r="AC34" s="749"/>
      <c r="AD34" s="749"/>
    </row>
    <row r="35" spans="1:30" ht="45" customHeight="1">
      <c r="A35" s="748"/>
      <c r="B35" s="798">
        <v>18</v>
      </c>
      <c r="C35" s="746" t="s">
        <v>549</v>
      </c>
      <c r="D35" s="861"/>
      <c r="E35" s="746"/>
      <c r="F35" s="746"/>
      <c r="G35" s="789"/>
      <c r="H35" s="852"/>
      <c r="I35" s="897" t="str">
        <f t="shared" si="1"/>
        <v>2.7.2</v>
      </c>
      <c r="J35" s="897"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897">
        <f t="shared" si="3"/>
        <v>0</v>
      </c>
      <c r="L35" s="747" t="str">
        <f t="shared" si="4"/>
        <v>2.7.2</v>
      </c>
      <c r="M35" s="747"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47" t="str">
        <f t="shared" si="6"/>
        <v/>
      </c>
      <c r="O35" s="851" t="s">
        <v>550</v>
      </c>
      <c r="P35" s="851" t="s">
        <v>526</v>
      </c>
      <c r="Q35" s="851" t="s">
        <v>550</v>
      </c>
      <c r="R35" s="851" t="s">
        <v>526</v>
      </c>
      <c r="S35" s="851"/>
      <c r="T35" s="858" t="s">
        <v>551</v>
      </c>
      <c r="U35" s="749" t="s">
        <v>551</v>
      </c>
      <c r="V35" s="749" t="s">
        <v>551</v>
      </c>
      <c r="W35" s="749" t="s">
        <v>551</v>
      </c>
      <c r="X35" s="746"/>
      <c r="Y35" s="893"/>
      <c r="Z35" s="749"/>
      <c r="AA35" s="752"/>
      <c r="AB35" s="749"/>
      <c r="AC35" s="749"/>
      <c r="AD35" s="749"/>
    </row>
    <row r="36" spans="1:30" ht="18" customHeight="1">
      <c r="A36" s="748"/>
      <c r="B36" s="798">
        <v>19</v>
      </c>
      <c r="C36" s="746">
        <v>11</v>
      </c>
      <c r="D36" s="861"/>
      <c r="E36" s="746"/>
      <c r="F36" s="746"/>
      <c r="G36" s="789"/>
      <c r="H36" s="852"/>
      <c r="I36" s="897" t="str">
        <f t="shared" si="1"/>
        <v>2.8</v>
      </c>
      <c r="J36" s="897" t="str">
        <f t="shared" si="2"/>
        <v>Расходы на амортизацию основных средств и нематериальных активов</v>
      </c>
      <c r="K36" s="897">
        <f t="shared" si="3"/>
        <v>0</v>
      </c>
      <c r="L36" s="747" t="str">
        <f t="shared" si="4"/>
        <v>2.8</v>
      </c>
      <c r="M36" s="747" t="str">
        <f t="shared" si="5"/>
        <v>Расходы на амортизацию основных средств и нематериальных активов</v>
      </c>
      <c r="N36" s="747" t="str">
        <f t="shared" si="6"/>
        <v/>
      </c>
      <c r="O36" s="851" t="s">
        <v>552</v>
      </c>
      <c r="P36" s="851" t="s">
        <v>530</v>
      </c>
      <c r="Q36" s="851" t="s">
        <v>552</v>
      </c>
      <c r="R36" s="851" t="s">
        <v>530</v>
      </c>
      <c r="S36" s="851"/>
      <c r="T36" s="858" t="s">
        <v>553</v>
      </c>
      <c r="U36" s="749" t="s">
        <v>553</v>
      </c>
      <c r="V36" s="749" t="s">
        <v>553</v>
      </c>
      <c r="W36" s="749" t="s">
        <v>553</v>
      </c>
      <c r="X36" s="746"/>
      <c r="Y36" s="893"/>
      <c r="Z36" s="749"/>
      <c r="AA36" s="752"/>
      <c r="AB36" s="749"/>
      <c r="AC36" s="749"/>
      <c r="AD36" s="749"/>
    </row>
    <row r="37" spans="1:30" ht="18" customHeight="1">
      <c r="A37" s="748"/>
      <c r="B37" s="798">
        <v>20</v>
      </c>
      <c r="C37" s="746" t="s">
        <v>554</v>
      </c>
      <c r="D37" s="861"/>
      <c r="E37" s="746"/>
      <c r="F37" s="746"/>
      <c r="G37" s="789"/>
      <c r="H37" s="852"/>
      <c r="I37" s="897" t="str">
        <f t="shared" si="1"/>
        <v>2.8.1</v>
      </c>
      <c r="J37" s="897" t="str">
        <f t="shared" si="2"/>
        <v>Расходы на амортизацию основных средств</v>
      </c>
      <c r="K37" s="897">
        <f t="shared" si="3"/>
        <v>0</v>
      </c>
      <c r="L37" s="747" t="str">
        <f t="shared" si="4"/>
        <v>2.8.1</v>
      </c>
      <c r="M37" s="747" t="str">
        <f t="shared" si="5"/>
        <v>Расходы на амортизацию основных средств</v>
      </c>
      <c r="N37" s="747" t="str">
        <f t="shared" si="6"/>
        <v/>
      </c>
      <c r="O37" s="851" t="s">
        <v>555</v>
      </c>
      <c r="P37" s="851" t="s">
        <v>534</v>
      </c>
      <c r="Q37" s="851" t="s">
        <v>555</v>
      </c>
      <c r="R37" s="851" t="s">
        <v>534</v>
      </c>
      <c r="S37" s="851"/>
      <c r="T37" s="858" t="s">
        <v>556</v>
      </c>
      <c r="U37" s="749" t="s">
        <v>556</v>
      </c>
      <c r="V37" s="749" t="s">
        <v>556</v>
      </c>
      <c r="W37" s="749" t="s">
        <v>556</v>
      </c>
      <c r="X37" s="746"/>
      <c r="Y37" s="893"/>
      <c r="Z37" s="749"/>
      <c r="AA37" s="752"/>
      <c r="AB37" s="749"/>
      <c r="AC37" s="749"/>
      <c r="AD37" s="749"/>
    </row>
    <row r="38" spans="1:30" ht="18" customHeight="1">
      <c r="A38" s="748"/>
      <c r="B38" s="798">
        <v>21</v>
      </c>
      <c r="C38" s="746" t="s">
        <v>557</v>
      </c>
      <c r="D38" s="861"/>
      <c r="E38" s="746"/>
      <c r="F38" s="746"/>
      <c r="G38" s="789"/>
      <c r="H38" s="852"/>
      <c r="I38" s="897" t="str">
        <f t="shared" si="1"/>
        <v>2.8.2</v>
      </c>
      <c r="J38" s="897" t="str">
        <f t="shared" si="2"/>
        <v>Расходы на амортизацию нематериальных активов</v>
      </c>
      <c r="K38" s="897">
        <f t="shared" si="3"/>
        <v>0</v>
      </c>
      <c r="L38" s="747" t="str">
        <f t="shared" si="4"/>
        <v>2.8.2</v>
      </c>
      <c r="M38" s="747" t="str">
        <f t="shared" si="5"/>
        <v>Расходы на амортизацию нематериальных активов</v>
      </c>
      <c r="N38" s="747" t="str">
        <f t="shared" si="6"/>
        <v/>
      </c>
      <c r="O38" s="851" t="s">
        <v>558</v>
      </c>
      <c r="P38" s="851" t="s">
        <v>538</v>
      </c>
      <c r="Q38" s="851" t="s">
        <v>558</v>
      </c>
      <c r="R38" s="851" t="s">
        <v>538</v>
      </c>
      <c r="S38" s="851"/>
      <c r="T38" s="858" t="s">
        <v>559</v>
      </c>
      <c r="U38" s="749" t="s">
        <v>559</v>
      </c>
      <c r="V38" s="749" t="s">
        <v>559</v>
      </c>
      <c r="W38" s="749" t="s">
        <v>559</v>
      </c>
      <c r="X38" s="746"/>
      <c r="Y38" s="893"/>
      <c r="Z38" s="749"/>
      <c r="AA38" s="752"/>
      <c r="AB38" s="749"/>
      <c r="AC38" s="749"/>
      <c r="AD38" s="749"/>
    </row>
    <row r="39" spans="1:30" ht="36" customHeight="1">
      <c r="A39" s="748"/>
      <c r="B39" s="798">
        <v>22</v>
      </c>
      <c r="C39" s="746">
        <v>12</v>
      </c>
      <c r="D39" s="861"/>
      <c r="E39" s="746"/>
      <c r="F39" s="746"/>
      <c r="G39" s="789"/>
      <c r="H39" s="852"/>
      <c r="I39" s="897" t="str">
        <f t="shared" si="1"/>
        <v>2.9</v>
      </c>
      <c r="J39" s="897" t="str">
        <f t="shared" si="2"/>
        <v>Расходы на аренду имущества, используемого для осуществления регулируемого вида деятельности</v>
      </c>
      <c r="K39" s="897">
        <f t="shared" si="3"/>
        <v>0</v>
      </c>
      <c r="L39" s="747" t="str">
        <f t="shared" si="4"/>
        <v>2.9</v>
      </c>
      <c r="M39" s="747" t="str">
        <f t="shared" si="5"/>
        <v>Расходы на аренду имущества, используемого для осуществления регулируемого вида деятельности</v>
      </c>
      <c r="N39" s="747" t="str">
        <f t="shared" si="6"/>
        <v/>
      </c>
      <c r="O39" s="851" t="s">
        <v>560</v>
      </c>
      <c r="P39" s="851" t="s">
        <v>541</v>
      </c>
      <c r="Q39" s="851" t="s">
        <v>560</v>
      </c>
      <c r="R39" s="851" t="s">
        <v>541</v>
      </c>
      <c r="S39" s="851"/>
      <c r="T39" s="858" t="s">
        <v>561</v>
      </c>
      <c r="U39" s="749" t="s">
        <v>562</v>
      </c>
      <c r="V39" s="749" t="s">
        <v>563</v>
      </c>
      <c r="W39" s="749" t="s">
        <v>564</v>
      </c>
      <c r="X39" s="746"/>
      <c r="Y39" s="893"/>
      <c r="Z39" s="749"/>
      <c r="AA39" s="752"/>
      <c r="AB39" s="749"/>
      <c r="AC39" s="749"/>
      <c r="AD39" s="749"/>
    </row>
    <row r="40" spans="1:30" ht="18" customHeight="1">
      <c r="A40" s="748"/>
      <c r="B40" s="798">
        <v>23</v>
      </c>
      <c r="C40" s="746">
        <v>13</v>
      </c>
      <c r="D40" s="861"/>
      <c r="E40" s="746"/>
      <c r="F40" s="746"/>
      <c r="G40" s="746"/>
      <c r="H40" s="792"/>
      <c r="I40" s="897" t="str">
        <f t="shared" si="1"/>
        <v>2.10</v>
      </c>
      <c r="J40" s="897" t="str">
        <f t="shared" si="2"/>
        <v>Общепроизводственные расходы, в том числе:</v>
      </c>
      <c r="K40" s="897" t="str">
        <f t="shared" si="3"/>
        <v>Указывается общая сумма общепроизводственных расходов.</v>
      </c>
      <c r="L40" s="747" t="str">
        <f t="shared" si="4"/>
        <v>2.10</v>
      </c>
      <c r="M40" s="747" t="str">
        <f t="shared" si="5"/>
        <v>Общепроизводственные расходы, в том числе:</v>
      </c>
      <c r="N40" s="747" t="str">
        <f t="shared" si="6"/>
        <v>Указывается общая сумма общепроизводственных расходов.</v>
      </c>
      <c r="O40" s="851" t="s">
        <v>565</v>
      </c>
      <c r="P40" s="851" t="s">
        <v>552</v>
      </c>
      <c r="Q40" s="851" t="s">
        <v>565</v>
      </c>
      <c r="R40" s="851" t="s">
        <v>552</v>
      </c>
      <c r="S40" s="851"/>
      <c r="T40" s="746" t="s">
        <v>566</v>
      </c>
      <c r="U40" s="746" t="s">
        <v>566</v>
      </c>
      <c r="V40" s="746" t="s">
        <v>566</v>
      </c>
      <c r="W40" s="746" t="s">
        <v>566</v>
      </c>
      <c r="X40" s="746"/>
      <c r="Y40" s="893"/>
      <c r="Z40" s="749" t="s">
        <v>567</v>
      </c>
      <c r="AA40" s="752" t="s">
        <v>567</v>
      </c>
      <c r="AB40" s="752" t="s">
        <v>567</v>
      </c>
      <c r="AC40" s="752" t="s">
        <v>567</v>
      </c>
      <c r="AD40" s="749"/>
    </row>
    <row r="41" spans="1:30" ht="27" customHeight="1">
      <c r="A41" s="748"/>
      <c r="B41" s="798">
        <v>24</v>
      </c>
      <c r="C41" s="746" t="s">
        <v>568</v>
      </c>
      <c r="D41" s="861"/>
      <c r="E41" s="746"/>
      <c r="F41" s="746"/>
      <c r="G41" s="746"/>
      <c r="H41" s="789"/>
      <c r="I41" s="897" t="str">
        <f t="shared" si="1"/>
        <v>2.10.1</v>
      </c>
      <c r="J41" s="897" t="str">
        <f t="shared" si="2"/>
        <v>Расходы на текущий ремонт</v>
      </c>
      <c r="K41" s="897" t="str">
        <f t="shared" si="3"/>
        <v>Указываются расходы на текущий ремонт, отнесенные к общепроизводственным расходам.</v>
      </c>
      <c r="L41" s="747" t="str">
        <f t="shared" si="4"/>
        <v>2.10.1</v>
      </c>
      <c r="M41" s="747" t="str">
        <f t="shared" si="5"/>
        <v>Расходы на текущий ремонт</v>
      </c>
      <c r="N41" s="747" t="str">
        <f t="shared" si="6"/>
        <v>Указываются расходы на текущий ремонт, отнесенные к общепроизводственным расходам.</v>
      </c>
      <c r="O41" s="851" t="s">
        <v>569</v>
      </c>
      <c r="P41" s="851" t="s">
        <v>555</v>
      </c>
      <c r="Q41" s="851" t="s">
        <v>569</v>
      </c>
      <c r="R41" s="851" t="s">
        <v>555</v>
      </c>
      <c r="S41" s="851"/>
      <c r="T41" s="746" t="s">
        <v>570</v>
      </c>
      <c r="U41" s="746" t="s">
        <v>570</v>
      </c>
      <c r="V41" s="746" t="s">
        <v>570</v>
      </c>
      <c r="W41" s="746" t="s">
        <v>570</v>
      </c>
      <c r="X41" s="746"/>
      <c r="Y41" s="893"/>
      <c r="Z41" s="749" t="s">
        <v>571</v>
      </c>
      <c r="AA41" s="749" t="s">
        <v>571</v>
      </c>
      <c r="AB41" s="749" t="s">
        <v>571</v>
      </c>
      <c r="AC41" s="749" t="s">
        <v>571</v>
      </c>
      <c r="AD41" s="749"/>
    </row>
    <row r="42" spans="1:30" ht="27" customHeight="1">
      <c r="A42" s="748"/>
      <c r="B42" s="798">
        <v>25</v>
      </c>
      <c r="C42" s="746" t="s">
        <v>572</v>
      </c>
      <c r="D42" s="861"/>
      <c r="E42" s="746"/>
      <c r="F42" s="746"/>
      <c r="G42" s="746"/>
      <c r="H42" s="789"/>
      <c r="I42" s="897" t="str">
        <f t="shared" si="1"/>
        <v>2.10.2</v>
      </c>
      <c r="J42" s="897" t="str">
        <f t="shared" si="2"/>
        <v>Расходы на капитальный ремонт</v>
      </c>
      <c r="K42" s="897" t="str">
        <f t="shared" si="3"/>
        <v>Указываются расходы на капитальный ремонт, отнесенные к общепроизводственным расходам.</v>
      </c>
      <c r="L42" s="747" t="str">
        <f t="shared" si="4"/>
        <v>2.10.2</v>
      </c>
      <c r="M42" s="747" t="str">
        <f t="shared" si="5"/>
        <v>Расходы на капитальный ремонт</v>
      </c>
      <c r="N42" s="747" t="str">
        <f t="shared" si="6"/>
        <v>Указываются расходы на капитальный ремонт, отнесенные к общепроизводственным расходам.</v>
      </c>
      <c r="O42" s="851" t="s">
        <v>573</v>
      </c>
      <c r="P42" s="851" t="s">
        <v>558</v>
      </c>
      <c r="Q42" s="851" t="s">
        <v>573</v>
      </c>
      <c r="R42" s="851" t="s">
        <v>558</v>
      </c>
      <c r="S42" s="851"/>
      <c r="T42" s="746" t="s">
        <v>574</v>
      </c>
      <c r="U42" s="746" t="s">
        <v>574</v>
      </c>
      <c r="V42" s="746" t="s">
        <v>574</v>
      </c>
      <c r="W42" s="746" t="s">
        <v>574</v>
      </c>
      <c r="X42" s="746"/>
      <c r="Y42" s="893"/>
      <c r="Z42" s="749" t="s">
        <v>575</v>
      </c>
      <c r="AA42" s="749" t="s">
        <v>575</v>
      </c>
      <c r="AB42" s="749" t="s">
        <v>575</v>
      </c>
      <c r="AC42" s="749" t="s">
        <v>575</v>
      </c>
      <c r="AD42" s="749"/>
    </row>
    <row r="43" spans="1:30" ht="18" customHeight="1">
      <c r="A43" s="748"/>
      <c r="B43" s="798">
        <v>26</v>
      </c>
      <c r="C43" s="746">
        <v>14</v>
      </c>
      <c r="D43" s="861"/>
      <c r="E43" s="746"/>
      <c r="F43" s="746"/>
      <c r="G43" s="746"/>
      <c r="H43" s="789"/>
      <c r="I43" s="897" t="str">
        <f t="shared" si="1"/>
        <v>2.11</v>
      </c>
      <c r="J43" s="897" t="str">
        <f t="shared" si="2"/>
        <v>Общехозяйственные расходы, в том числе:</v>
      </c>
      <c r="K43" s="897" t="str">
        <f t="shared" si="3"/>
        <v>Указывается общая сумма общехозяйственных расходов.</v>
      </c>
      <c r="L43" s="747" t="str">
        <f t="shared" si="4"/>
        <v>2.11</v>
      </c>
      <c r="M43" s="747" t="str">
        <f t="shared" si="5"/>
        <v>Общехозяйственные расходы, в том числе:</v>
      </c>
      <c r="N43" s="747" t="str">
        <f t="shared" si="6"/>
        <v>Указывается общая сумма общехозяйственных расходов.</v>
      </c>
      <c r="O43" s="851" t="s">
        <v>576</v>
      </c>
      <c r="P43" s="851" t="s">
        <v>560</v>
      </c>
      <c r="Q43" s="851" t="s">
        <v>576</v>
      </c>
      <c r="R43" s="851" t="s">
        <v>560</v>
      </c>
      <c r="S43" s="851"/>
      <c r="T43" s="746" t="s">
        <v>577</v>
      </c>
      <c r="U43" s="746" t="s">
        <v>577</v>
      </c>
      <c r="V43" s="746" t="s">
        <v>577</v>
      </c>
      <c r="W43" s="746" t="s">
        <v>577</v>
      </c>
      <c r="X43" s="746"/>
      <c r="Y43" s="893"/>
      <c r="Z43" s="749" t="s">
        <v>578</v>
      </c>
      <c r="AA43" s="749" t="s">
        <v>578</v>
      </c>
      <c r="AB43" s="749" t="s">
        <v>578</v>
      </c>
      <c r="AC43" s="749" t="s">
        <v>578</v>
      </c>
      <c r="AD43" s="749"/>
    </row>
    <row r="44" spans="1:30" ht="27" customHeight="1">
      <c r="A44" s="748"/>
      <c r="B44" s="798">
        <v>27</v>
      </c>
      <c r="C44" s="746" t="s">
        <v>579</v>
      </c>
      <c r="D44" s="861"/>
      <c r="E44" s="746"/>
      <c r="F44" s="746"/>
      <c r="G44" s="746"/>
      <c r="H44" s="789"/>
      <c r="I44" s="897" t="str">
        <f t="shared" si="1"/>
        <v>2.11.1</v>
      </c>
      <c r="J44" s="897" t="str">
        <f t="shared" si="2"/>
        <v>Расходы на текущий ремонт</v>
      </c>
      <c r="K44" s="897" t="str">
        <f t="shared" si="3"/>
        <v>Указываются расходы на текущий ремонт, отнесенные к общехозяйственным расходам.</v>
      </c>
      <c r="L44" s="747" t="str">
        <f t="shared" si="4"/>
        <v>2.11.1</v>
      </c>
      <c r="M44" s="747" t="str">
        <f t="shared" si="5"/>
        <v>Расходы на текущий ремонт</v>
      </c>
      <c r="N44" s="747" t="str">
        <f t="shared" si="6"/>
        <v>Указываются расходы на текущий ремонт, отнесенные к общехозяйственным расходам.</v>
      </c>
      <c r="O44" s="851" t="s">
        <v>580</v>
      </c>
      <c r="P44" s="851" t="s">
        <v>581</v>
      </c>
      <c r="Q44" s="851" t="s">
        <v>580</v>
      </c>
      <c r="R44" s="851" t="s">
        <v>581</v>
      </c>
      <c r="S44" s="851"/>
      <c r="T44" s="746" t="s">
        <v>570</v>
      </c>
      <c r="U44" s="746" t="s">
        <v>570</v>
      </c>
      <c r="V44" s="746" t="s">
        <v>570</v>
      </c>
      <c r="W44" s="746" t="s">
        <v>570</v>
      </c>
      <c r="X44" s="746"/>
      <c r="Y44" s="893"/>
      <c r="Z44" s="749" t="s">
        <v>582</v>
      </c>
      <c r="AA44" s="749" t="s">
        <v>582</v>
      </c>
      <c r="AB44" s="749" t="s">
        <v>582</v>
      </c>
      <c r="AC44" s="749" t="s">
        <v>582</v>
      </c>
      <c r="AD44" s="749"/>
    </row>
    <row r="45" spans="1:30" ht="27" customHeight="1">
      <c r="A45" s="748"/>
      <c r="B45" s="798">
        <v>28</v>
      </c>
      <c r="C45" s="746" t="s">
        <v>583</v>
      </c>
      <c r="D45" s="861"/>
      <c r="E45" s="746"/>
      <c r="F45" s="746"/>
      <c r="G45" s="746"/>
      <c r="H45" s="789"/>
      <c r="I45" s="897" t="str">
        <f t="shared" si="1"/>
        <v>2.11.2</v>
      </c>
      <c r="J45" s="897" t="str">
        <f t="shared" si="2"/>
        <v>Расходы на капитальный ремонт</v>
      </c>
      <c r="K45" s="897" t="str">
        <f t="shared" si="3"/>
        <v>Указываются расходы на капитальный ремонт, отнесенные к общехозяйственным расходам.</v>
      </c>
      <c r="L45" s="747" t="str">
        <f t="shared" si="4"/>
        <v>2.11.2</v>
      </c>
      <c r="M45" s="747" t="str">
        <f t="shared" si="5"/>
        <v>Расходы на капитальный ремонт</v>
      </c>
      <c r="N45" s="747" t="str">
        <f t="shared" si="6"/>
        <v>Указываются расходы на капитальный ремонт, отнесенные к общехозяйственным расходам.</v>
      </c>
      <c r="O45" s="851" t="s">
        <v>584</v>
      </c>
      <c r="P45" s="851" t="s">
        <v>585</v>
      </c>
      <c r="Q45" s="851" t="s">
        <v>584</v>
      </c>
      <c r="R45" s="851" t="s">
        <v>585</v>
      </c>
      <c r="S45" s="851"/>
      <c r="T45" s="746" t="s">
        <v>574</v>
      </c>
      <c r="U45" s="746" t="s">
        <v>574</v>
      </c>
      <c r="V45" s="746" t="s">
        <v>574</v>
      </c>
      <c r="W45" s="746" t="s">
        <v>574</v>
      </c>
      <c r="X45" s="746"/>
      <c r="Y45" s="893"/>
      <c r="Z45" s="749" t="s">
        <v>586</v>
      </c>
      <c r="AA45" s="749" t="s">
        <v>586</v>
      </c>
      <c r="AB45" s="749" t="s">
        <v>586</v>
      </c>
      <c r="AC45" s="749" t="s">
        <v>586</v>
      </c>
      <c r="AD45" s="749"/>
    </row>
    <row r="46" spans="1:30" ht="54" customHeight="1">
      <c r="A46" s="748"/>
      <c r="B46" s="798">
        <v>29</v>
      </c>
      <c r="C46" s="746">
        <v>15</v>
      </c>
      <c r="D46" s="861"/>
      <c r="E46" s="746"/>
      <c r="F46" s="746"/>
      <c r="G46" s="746"/>
      <c r="H46" s="789"/>
      <c r="I46" s="897" t="str">
        <f t="shared" si="1"/>
        <v>2.12</v>
      </c>
      <c r="J46" s="897" t="str">
        <f t="shared" si="2"/>
        <v>Расходы на капитальный и текущий ремонт основных средств</v>
      </c>
      <c r="K46" s="897"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47" t="str">
        <f t="shared" si="4"/>
        <v>2.12</v>
      </c>
      <c r="M46" s="747" t="str">
        <f t="shared" si="5"/>
        <v>Расходы на капитальный и текущий ремонт основных средств</v>
      </c>
      <c r="N46" s="747"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51" t="s">
        <v>587</v>
      </c>
      <c r="P46" s="851" t="s">
        <v>565</v>
      </c>
      <c r="Q46" s="851" t="s">
        <v>587</v>
      </c>
      <c r="R46" s="851" t="s">
        <v>565</v>
      </c>
      <c r="S46" s="851"/>
      <c r="T46" s="746" t="s">
        <v>588</v>
      </c>
      <c r="U46" s="746" t="s">
        <v>588</v>
      </c>
      <c r="V46" s="746" t="s">
        <v>588</v>
      </c>
      <c r="W46" s="746" t="s">
        <v>588</v>
      </c>
      <c r="X46" s="746"/>
      <c r="Y46" s="893"/>
      <c r="Z46" s="749" t="s">
        <v>589</v>
      </c>
      <c r="AA46" s="749" t="s">
        <v>590</v>
      </c>
      <c r="AB46" s="749" t="s">
        <v>590</v>
      </c>
      <c r="AC46" s="749" t="s">
        <v>590</v>
      </c>
      <c r="AD46" s="749"/>
    </row>
    <row r="47" spans="1:30" ht="54" customHeight="1">
      <c r="A47" s="748"/>
      <c r="B47" s="798">
        <v>30</v>
      </c>
      <c r="C47" s="746" t="s">
        <v>591</v>
      </c>
      <c r="D47" s="861"/>
      <c r="E47" s="746"/>
      <c r="F47" s="746"/>
      <c r="G47" s="746"/>
      <c r="H47" s="789"/>
      <c r="I47" s="897" t="str">
        <f t="shared" si="1"/>
        <v>2.12.1</v>
      </c>
      <c r="J47" s="897"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897">
        <f t="shared" si="3"/>
        <v>0</v>
      </c>
      <c r="L47" s="747" t="str">
        <f t="shared" si="4"/>
        <v>2.12.1</v>
      </c>
      <c r="M47" s="747"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47" t="str">
        <f t="shared" si="6"/>
        <v/>
      </c>
      <c r="O47" s="851" t="s">
        <v>592</v>
      </c>
      <c r="P47" s="851" t="s">
        <v>569</v>
      </c>
      <c r="Q47" s="851" t="s">
        <v>592</v>
      </c>
      <c r="R47" s="851" t="s">
        <v>569</v>
      </c>
      <c r="S47" s="851"/>
      <c r="T47" s="746" t="s">
        <v>593</v>
      </c>
      <c r="U47" s="746" t="s">
        <v>593</v>
      </c>
      <c r="V47" s="746" t="s">
        <v>593</v>
      </c>
      <c r="W47" s="746" t="s">
        <v>593</v>
      </c>
      <c r="X47" s="746"/>
      <c r="Y47" s="893"/>
      <c r="Z47" s="749"/>
      <c r="AA47" s="752"/>
      <c r="AB47" s="752"/>
      <c r="AC47" s="752"/>
      <c r="AD47" s="749"/>
    </row>
    <row r="48" spans="1:30" ht="54" customHeight="1">
      <c r="A48" s="748"/>
      <c r="B48" s="798">
        <v>31</v>
      </c>
      <c r="C48" s="746">
        <v>16</v>
      </c>
      <c r="D48" s="861"/>
      <c r="E48" s="746"/>
      <c r="F48" s="746"/>
      <c r="G48" s="746"/>
      <c r="H48" s="789"/>
      <c r="I48" s="897">
        <f t="shared" si="1"/>
        <v>0</v>
      </c>
      <c r="J48" s="897">
        <f t="shared" si="2"/>
        <v>0</v>
      </c>
      <c r="K48" s="897">
        <f t="shared" si="3"/>
        <v>0</v>
      </c>
      <c r="L48" s="747" t="str">
        <f t="shared" si="4"/>
        <v/>
      </c>
      <c r="M48" s="747" t="str">
        <f t="shared" si="5"/>
        <v/>
      </c>
      <c r="N48" s="747" t="str">
        <f t="shared" si="6"/>
        <v/>
      </c>
      <c r="O48" s="851"/>
      <c r="P48" s="851" t="s">
        <v>576</v>
      </c>
      <c r="Q48" s="851" t="s">
        <v>594</v>
      </c>
      <c r="R48" s="851" t="s">
        <v>576</v>
      </c>
      <c r="S48" s="851"/>
      <c r="T48" s="746"/>
      <c r="U48" s="746" t="s">
        <v>595</v>
      </c>
      <c r="V48" s="746" t="s">
        <v>596</v>
      </c>
      <c r="W48" s="746" t="s">
        <v>596</v>
      </c>
      <c r="X48" s="746"/>
      <c r="Y48" s="893"/>
      <c r="Z48" s="749"/>
      <c r="AA48" s="752" t="s">
        <v>590</v>
      </c>
      <c r="AB48" s="752" t="s">
        <v>590</v>
      </c>
      <c r="AC48" s="752" t="s">
        <v>590</v>
      </c>
      <c r="AD48" s="749"/>
    </row>
    <row r="49" spans="1:30" ht="54" customHeight="1">
      <c r="A49" s="748"/>
      <c r="B49" s="798">
        <v>32</v>
      </c>
      <c r="C49" s="746" t="s">
        <v>597</v>
      </c>
      <c r="D49" s="861"/>
      <c r="E49" s="746"/>
      <c r="F49" s="746"/>
      <c r="G49" s="746"/>
      <c r="H49" s="789"/>
      <c r="I49" s="897">
        <f t="shared" si="1"/>
        <v>0</v>
      </c>
      <c r="J49" s="897">
        <f t="shared" si="2"/>
        <v>0</v>
      </c>
      <c r="K49" s="897">
        <f t="shared" si="3"/>
        <v>0</v>
      </c>
      <c r="L49" s="747" t="str">
        <f t="shared" si="4"/>
        <v/>
      </c>
      <c r="M49" s="747" t="str">
        <f t="shared" si="5"/>
        <v/>
      </c>
      <c r="N49" s="747" t="str">
        <f t="shared" si="6"/>
        <v/>
      </c>
      <c r="O49" s="851"/>
      <c r="P49" s="851" t="s">
        <v>580</v>
      </c>
      <c r="Q49" s="851" t="s">
        <v>598</v>
      </c>
      <c r="R49" s="851" t="s">
        <v>580</v>
      </c>
      <c r="S49" s="851"/>
      <c r="T49" s="746"/>
      <c r="U49" s="746" t="s">
        <v>593</v>
      </c>
      <c r="V49" s="746" t="s">
        <v>593</v>
      </c>
      <c r="W49" s="746" t="s">
        <v>593</v>
      </c>
      <c r="X49" s="746"/>
      <c r="Y49" s="893"/>
      <c r="Z49" s="749"/>
      <c r="AA49" s="752"/>
      <c r="AB49" s="752"/>
      <c r="AC49" s="752"/>
      <c r="AD49" s="749"/>
    </row>
    <row r="50" spans="1:30" ht="126" customHeight="1">
      <c r="A50" s="748"/>
      <c r="B50" s="798">
        <v>33</v>
      </c>
      <c r="C50" s="746">
        <v>17</v>
      </c>
      <c r="D50" s="861"/>
      <c r="E50" s="746"/>
      <c r="F50" s="746"/>
      <c r="G50" s="746"/>
      <c r="H50" s="789"/>
      <c r="I50" s="897" t="str">
        <f t="shared" ref="I50:I81" si="7">INDEX(TEMPLATE_NUMBER_POINT_FHD,B50,MATCH(TEMPLATE_SPHERE,TEMPLATE_SPHERE_LIST_FOR_NOTE,0))</f>
        <v>2.13</v>
      </c>
      <c r="J50" s="897"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897"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47" t="str">
        <f t="shared" ref="L50:L81" si="10">IF(I50=0,"",I50)</f>
        <v>2.13</v>
      </c>
      <c r="M50" s="747"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47"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51" t="s">
        <v>594</v>
      </c>
      <c r="P50" s="851" t="s">
        <v>587</v>
      </c>
      <c r="Q50" s="851" t="s">
        <v>599</v>
      </c>
      <c r="R50" s="851" t="s">
        <v>587</v>
      </c>
      <c r="S50" s="851"/>
      <c r="T50" s="746" t="s">
        <v>600</v>
      </c>
      <c r="U50" s="746" t="s">
        <v>601</v>
      </c>
      <c r="V50" s="746" t="s">
        <v>602</v>
      </c>
      <c r="W50" s="746" t="s">
        <v>603</v>
      </c>
      <c r="X50" s="746"/>
      <c r="Y50" s="893"/>
      <c r="Z50" s="749" t="s">
        <v>604</v>
      </c>
      <c r="AA50" s="752" t="s">
        <v>605</v>
      </c>
      <c r="AB50" s="752" t="s">
        <v>605</v>
      </c>
      <c r="AC50" s="752" t="s">
        <v>605</v>
      </c>
      <c r="AD50" s="749"/>
    </row>
    <row r="51" spans="1:30" ht="27" customHeight="1">
      <c r="A51" s="748"/>
      <c r="B51" s="798">
        <v>34</v>
      </c>
      <c r="C51" s="746" t="s">
        <v>606</v>
      </c>
      <c r="D51" s="861"/>
      <c r="E51" s="746"/>
      <c r="F51" s="746"/>
      <c r="G51" s="746"/>
      <c r="H51" s="789"/>
      <c r="I51" s="897" t="str">
        <f t="shared" si="7"/>
        <v>3</v>
      </c>
      <c r="J51" s="897" t="str">
        <f t="shared" si="8"/>
        <v>Валовая прибыль (убытки) от реализации товаров и оказания услуг по регулируемому виду деятельности</v>
      </c>
      <c r="K51" s="897">
        <f t="shared" si="9"/>
        <v>0</v>
      </c>
      <c r="L51" s="747" t="str">
        <f t="shared" si="10"/>
        <v>3</v>
      </c>
      <c r="M51" s="747" t="str">
        <f t="shared" si="11"/>
        <v>Валовая прибыль (убытки) от реализации товаров и оказания услуг по регулируемому виду деятельности</v>
      </c>
      <c r="N51" s="747" t="str">
        <f t="shared" si="12"/>
        <v/>
      </c>
      <c r="O51" s="851" t="s">
        <v>90</v>
      </c>
      <c r="P51" s="851"/>
      <c r="Q51" s="851"/>
      <c r="R51" s="851"/>
      <c r="S51" s="851"/>
      <c r="T51" s="746" t="s">
        <v>607</v>
      </c>
      <c r="U51" s="746"/>
      <c r="V51" s="746"/>
      <c r="W51" s="746"/>
      <c r="X51" s="746"/>
      <c r="Y51" s="893"/>
      <c r="Z51" s="749"/>
      <c r="AA51" s="752"/>
      <c r="AB51" s="752"/>
      <c r="AC51" s="752"/>
      <c r="AD51" s="749"/>
    </row>
    <row r="52" spans="1:30" ht="36" customHeight="1">
      <c r="A52" s="748"/>
      <c r="B52" s="798">
        <v>35</v>
      </c>
      <c r="C52" s="746" t="s">
        <v>484</v>
      </c>
      <c r="D52" s="861" t="s">
        <v>484</v>
      </c>
      <c r="E52" s="746" t="s">
        <v>484</v>
      </c>
      <c r="F52" s="746" t="s">
        <v>484</v>
      </c>
      <c r="G52" s="746"/>
      <c r="H52" s="789"/>
      <c r="I52" s="897" t="str">
        <f t="shared" si="7"/>
        <v>4</v>
      </c>
      <c r="J52" s="897" t="str">
        <f t="shared" si="8"/>
        <v>Чистая прибыль, полученная от регулируемого вида деятельности, в том числе:</v>
      </c>
      <c r="K52" s="897" t="str">
        <f t="shared" si="9"/>
        <v>Указывается общая сумма чистой прибыли, полученной от регулируемого вида деятельности.</v>
      </c>
      <c r="L52" s="747" t="str">
        <f t="shared" si="10"/>
        <v>4</v>
      </c>
      <c r="M52" s="747" t="str">
        <f t="shared" si="11"/>
        <v>Чистая прибыль, полученная от регулируемого вида деятельности, в том числе:</v>
      </c>
      <c r="N52" s="747" t="str">
        <f t="shared" si="12"/>
        <v>Указывается общая сумма чистой прибыли, полученной от регулируемого вида деятельности.</v>
      </c>
      <c r="O52" s="851" t="s">
        <v>91</v>
      </c>
      <c r="P52" s="851" t="s">
        <v>90</v>
      </c>
      <c r="Q52" s="851" t="s">
        <v>90</v>
      </c>
      <c r="R52" s="851" t="s">
        <v>90</v>
      </c>
      <c r="S52" s="851"/>
      <c r="T52" s="746" t="s">
        <v>608</v>
      </c>
      <c r="U52" s="746" t="s">
        <v>609</v>
      </c>
      <c r="V52" s="746" t="s">
        <v>610</v>
      </c>
      <c r="W52" s="746" t="s">
        <v>611</v>
      </c>
      <c r="X52" s="746"/>
      <c r="Y52" s="893"/>
      <c r="Z52" s="749" t="s">
        <v>612</v>
      </c>
      <c r="AA52" s="752" t="s">
        <v>612</v>
      </c>
      <c r="AB52" s="752" t="s">
        <v>612</v>
      </c>
      <c r="AC52" s="752" t="s">
        <v>612</v>
      </c>
      <c r="AD52" s="749"/>
    </row>
    <row r="53" spans="1:30" ht="36" customHeight="1">
      <c r="A53" s="748"/>
      <c r="B53" s="798">
        <v>36</v>
      </c>
      <c r="C53" s="746">
        <v>1</v>
      </c>
      <c r="D53" s="861"/>
      <c r="E53" s="746"/>
      <c r="F53" s="746"/>
      <c r="G53" s="746"/>
      <c r="H53" s="789"/>
      <c r="I53" s="897" t="str">
        <f t="shared" si="7"/>
        <v>4.1</v>
      </c>
      <c r="J53" s="897"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897">
        <f t="shared" si="9"/>
        <v>0</v>
      </c>
      <c r="L53" s="747" t="str">
        <f t="shared" si="10"/>
        <v>4.1</v>
      </c>
      <c r="M53" s="747"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47" t="str">
        <f t="shared" si="12"/>
        <v/>
      </c>
      <c r="O53" s="851" t="s">
        <v>613</v>
      </c>
      <c r="P53" s="851" t="s">
        <v>318</v>
      </c>
      <c r="Q53" s="851" t="s">
        <v>318</v>
      </c>
      <c r="R53" s="851" t="s">
        <v>318</v>
      </c>
      <c r="S53" s="851"/>
      <c r="T53" s="746" t="s">
        <v>614</v>
      </c>
      <c r="U53" s="746" t="s">
        <v>614</v>
      </c>
      <c r="V53" s="746" t="s">
        <v>614</v>
      </c>
      <c r="W53" s="746" t="s">
        <v>614</v>
      </c>
      <c r="X53" s="746"/>
      <c r="Y53" s="893"/>
      <c r="Z53" s="749"/>
      <c r="AA53" s="752"/>
      <c r="AB53" s="749"/>
      <c r="AC53" s="749"/>
      <c r="AD53" s="749"/>
    </row>
    <row r="54" spans="1:30" ht="18" customHeight="1">
      <c r="A54" s="748"/>
      <c r="B54" s="798">
        <v>37</v>
      </c>
      <c r="C54" s="746" t="s">
        <v>490</v>
      </c>
      <c r="D54" s="861" t="s">
        <v>490</v>
      </c>
      <c r="E54" s="746" t="s">
        <v>490</v>
      </c>
      <c r="F54" s="746" t="s">
        <v>490</v>
      </c>
      <c r="G54" s="746"/>
      <c r="H54" s="789"/>
      <c r="I54" s="897" t="str">
        <f t="shared" si="7"/>
        <v>5</v>
      </c>
      <c r="J54" s="897" t="str">
        <f t="shared" si="8"/>
        <v>Изменение стоимости основных фондов, в том числе:</v>
      </c>
      <c r="K54" s="897" t="str">
        <f t="shared" si="9"/>
        <v>Указывается общее изменение стоимости основных фондов.</v>
      </c>
      <c r="L54" s="747" t="str">
        <f t="shared" si="10"/>
        <v>5</v>
      </c>
      <c r="M54" s="747" t="str">
        <f t="shared" si="11"/>
        <v>Изменение стоимости основных фондов, в том числе:</v>
      </c>
      <c r="N54" s="747" t="str">
        <f t="shared" si="12"/>
        <v>Указывается общее изменение стоимости основных фондов.</v>
      </c>
      <c r="O54" s="851" t="s">
        <v>111</v>
      </c>
      <c r="P54" s="851" t="s">
        <v>91</v>
      </c>
      <c r="Q54" s="851" t="s">
        <v>91</v>
      </c>
      <c r="R54" s="851" t="s">
        <v>91</v>
      </c>
      <c r="S54" s="851"/>
      <c r="T54" s="746" t="s">
        <v>615</v>
      </c>
      <c r="U54" s="746" t="s">
        <v>615</v>
      </c>
      <c r="V54" s="746" t="s">
        <v>615</v>
      </c>
      <c r="W54" s="746" t="s">
        <v>615</v>
      </c>
      <c r="X54" s="746"/>
      <c r="Y54" s="893"/>
      <c r="Z54" s="749" t="s">
        <v>616</v>
      </c>
      <c r="AA54" s="749" t="s">
        <v>616</v>
      </c>
      <c r="AB54" s="749" t="s">
        <v>616</v>
      </c>
      <c r="AC54" s="749" t="s">
        <v>616</v>
      </c>
      <c r="AD54" s="749"/>
    </row>
    <row r="55" spans="1:30" ht="36" customHeight="1">
      <c r="A55" s="748"/>
      <c r="B55" s="798">
        <v>38</v>
      </c>
      <c r="C55" s="746">
        <v>1</v>
      </c>
      <c r="D55" s="861"/>
      <c r="E55" s="746"/>
      <c r="F55" s="746"/>
      <c r="G55" s="746"/>
      <c r="H55" s="789"/>
      <c r="I55" s="897" t="str">
        <f t="shared" si="7"/>
        <v>5.1</v>
      </c>
      <c r="J55" s="897" t="str">
        <f t="shared" si="8"/>
        <v>Изменение стоимости основных фондов за счет:</v>
      </c>
      <c r="K55" s="897" t="str">
        <f t="shared" si="9"/>
        <v>Указываются общее изменение стоимости основных фондов за счет их ввода в эксплуатацию и вывода из эксплуатации.</v>
      </c>
      <c r="L55" s="747" t="str">
        <f t="shared" si="10"/>
        <v>5.1</v>
      </c>
      <c r="M55" s="747" t="str">
        <f t="shared" si="11"/>
        <v>Изменение стоимости основных фондов за счет:</v>
      </c>
      <c r="N55" s="747" t="str">
        <f t="shared" si="12"/>
        <v>Указываются общее изменение стоимости основных фондов за счет их ввода в эксплуатацию и вывода из эксплуатации.</v>
      </c>
      <c r="O55" s="851" t="s">
        <v>307</v>
      </c>
      <c r="P55" s="851" t="s">
        <v>613</v>
      </c>
      <c r="Q55" s="851" t="s">
        <v>613</v>
      </c>
      <c r="R55" s="851" t="s">
        <v>613</v>
      </c>
      <c r="S55" s="851"/>
      <c r="T55" s="746" t="s">
        <v>617</v>
      </c>
      <c r="U55" s="746" t="s">
        <v>618</v>
      </c>
      <c r="V55" s="746" t="s">
        <v>618</v>
      </c>
      <c r="W55" s="746" t="s">
        <v>618</v>
      </c>
      <c r="X55" s="746"/>
      <c r="Y55" s="893"/>
      <c r="Z55" s="749" t="s">
        <v>619</v>
      </c>
      <c r="AA55" s="749" t="s">
        <v>619</v>
      </c>
      <c r="AB55" s="749" t="s">
        <v>619</v>
      </c>
      <c r="AC55" s="749" t="s">
        <v>619</v>
      </c>
      <c r="AD55" s="749"/>
    </row>
    <row r="56" spans="1:30" ht="27" customHeight="1">
      <c r="A56" s="748"/>
      <c r="B56" s="798">
        <v>39</v>
      </c>
      <c r="C56" s="746" t="s">
        <v>620</v>
      </c>
      <c r="D56" s="861"/>
      <c r="E56" s="746"/>
      <c r="F56" s="746"/>
      <c r="G56" s="746"/>
      <c r="H56" s="789"/>
      <c r="I56" s="897" t="str">
        <f t="shared" si="7"/>
        <v>5.1.1</v>
      </c>
      <c r="J56" s="897" t="str">
        <f t="shared" si="8"/>
        <v>Изменения стоимости основных фондов за счет их ввода в эксплуатацию</v>
      </c>
      <c r="K56" s="897" t="str">
        <f t="shared" si="9"/>
        <v>Указываются изменение стоимости основных фондов за счет их ввода в эксплуатацию.</v>
      </c>
      <c r="L56" s="747" t="str">
        <f t="shared" si="10"/>
        <v>5.1.1</v>
      </c>
      <c r="M56" s="747" t="str">
        <f t="shared" si="11"/>
        <v>Изменения стоимости основных фондов за счет их ввода в эксплуатацию</v>
      </c>
      <c r="N56" s="747" t="str">
        <f t="shared" si="12"/>
        <v>Указываются изменение стоимости основных фондов за счет их ввода в эксплуатацию.</v>
      </c>
      <c r="O56" s="851" t="s">
        <v>621</v>
      </c>
      <c r="P56" s="851" t="s">
        <v>622</v>
      </c>
      <c r="Q56" s="851" t="s">
        <v>622</v>
      </c>
      <c r="R56" s="851" t="s">
        <v>622</v>
      </c>
      <c r="S56" s="851"/>
      <c r="T56" s="746" t="s">
        <v>623</v>
      </c>
      <c r="U56" s="746" t="s">
        <v>624</v>
      </c>
      <c r="V56" s="746" t="s">
        <v>624</v>
      </c>
      <c r="W56" s="746" t="s">
        <v>624</v>
      </c>
      <c r="X56" s="746"/>
      <c r="Y56" s="893"/>
      <c r="Z56" s="749" t="s">
        <v>625</v>
      </c>
      <c r="AA56" s="749" t="s">
        <v>625</v>
      </c>
      <c r="AB56" s="749" t="s">
        <v>625</v>
      </c>
      <c r="AC56" s="749" t="s">
        <v>625</v>
      </c>
      <c r="AD56" s="749"/>
    </row>
    <row r="57" spans="1:30" ht="27" customHeight="1">
      <c r="A57" s="748"/>
      <c r="B57" s="798">
        <v>40</v>
      </c>
      <c r="C57" s="746" t="s">
        <v>626</v>
      </c>
      <c r="D57" s="861"/>
      <c r="E57" s="746"/>
      <c r="F57" s="746"/>
      <c r="G57" s="746"/>
      <c r="H57" s="789"/>
      <c r="I57" s="897" t="str">
        <f t="shared" si="7"/>
        <v>5.1.2</v>
      </c>
      <c r="J57" s="897" t="str">
        <f t="shared" si="8"/>
        <v>Изменения стоимости основных фондов за счет их вывода в эксплуатацию</v>
      </c>
      <c r="K57" s="897" t="str">
        <f t="shared" si="9"/>
        <v>Указываются изменение стоимости основных фондов за счет их вывода из эксплуатации.</v>
      </c>
      <c r="L57" s="747" t="str">
        <f t="shared" si="10"/>
        <v>5.1.2</v>
      </c>
      <c r="M57" s="747" t="str">
        <f t="shared" si="11"/>
        <v>Изменения стоимости основных фондов за счет их вывода в эксплуатацию</v>
      </c>
      <c r="N57" s="747" t="str">
        <f t="shared" si="12"/>
        <v>Указываются изменение стоимости основных фондов за счет их вывода из эксплуатации.</v>
      </c>
      <c r="O57" s="851" t="s">
        <v>627</v>
      </c>
      <c r="P57" s="851" t="s">
        <v>628</v>
      </c>
      <c r="Q57" s="851" t="s">
        <v>628</v>
      </c>
      <c r="R57" s="851" t="s">
        <v>628</v>
      </c>
      <c r="S57" s="851"/>
      <c r="T57" s="746" t="s">
        <v>629</v>
      </c>
      <c r="U57" s="746" t="s">
        <v>630</v>
      </c>
      <c r="V57" s="746" t="s">
        <v>630</v>
      </c>
      <c r="W57" s="746" t="s">
        <v>630</v>
      </c>
      <c r="X57" s="746"/>
      <c r="Y57" s="893"/>
      <c r="Z57" s="749" t="s">
        <v>631</v>
      </c>
      <c r="AA57" s="749" t="s">
        <v>631</v>
      </c>
      <c r="AB57" s="749" t="s">
        <v>631</v>
      </c>
      <c r="AC57" s="749" t="s">
        <v>631</v>
      </c>
      <c r="AD57" s="749"/>
    </row>
    <row r="58" spans="1:30" ht="18" customHeight="1">
      <c r="A58" s="748"/>
      <c r="B58" s="798">
        <v>41</v>
      </c>
      <c r="C58" s="746">
        <v>2</v>
      </c>
      <c r="D58" s="861"/>
      <c r="E58" s="746"/>
      <c r="F58" s="746"/>
      <c r="G58" s="746"/>
      <c r="H58" s="789"/>
      <c r="I58" s="897" t="str">
        <f t="shared" si="7"/>
        <v>5.2</v>
      </c>
      <c r="J58" s="897" t="str">
        <f t="shared" si="8"/>
        <v>Изменение стоимости основных фондов за счет их переоценки</v>
      </c>
      <c r="K58" s="897">
        <f t="shared" si="9"/>
        <v>0</v>
      </c>
      <c r="L58" s="747" t="str">
        <f t="shared" si="10"/>
        <v>5.2</v>
      </c>
      <c r="M58" s="747" t="str">
        <f t="shared" si="11"/>
        <v>Изменение стоимости основных фондов за счет их переоценки</v>
      </c>
      <c r="N58" s="747" t="str">
        <f t="shared" si="12"/>
        <v/>
      </c>
      <c r="O58" s="851" t="s">
        <v>309</v>
      </c>
      <c r="P58" s="851" t="s">
        <v>632</v>
      </c>
      <c r="Q58" s="851" t="s">
        <v>632</v>
      </c>
      <c r="R58" s="851" t="s">
        <v>632</v>
      </c>
      <c r="S58" s="851"/>
      <c r="T58" s="746" t="s">
        <v>633</v>
      </c>
      <c r="U58" s="746" t="s">
        <v>633</v>
      </c>
      <c r="V58" s="746" t="s">
        <v>633</v>
      </c>
      <c r="W58" s="746" t="s">
        <v>633</v>
      </c>
      <c r="X58" s="746"/>
      <c r="Y58" s="893"/>
      <c r="Z58" s="749"/>
      <c r="AA58" s="752"/>
      <c r="AB58" s="749"/>
      <c r="AC58" s="749"/>
      <c r="AD58" s="749"/>
    </row>
    <row r="59" spans="1:30" ht="36" customHeight="1">
      <c r="A59" s="748"/>
      <c r="B59" s="798">
        <v>42</v>
      </c>
      <c r="C59" s="746">
        <v>3</v>
      </c>
      <c r="D59" s="861" t="s">
        <v>606</v>
      </c>
      <c r="E59" s="746" t="s">
        <v>606</v>
      </c>
      <c r="F59" s="746" t="s">
        <v>606</v>
      </c>
      <c r="G59" s="746"/>
      <c r="H59" s="789"/>
      <c r="I59" s="897">
        <f t="shared" si="7"/>
        <v>0</v>
      </c>
      <c r="J59" s="897">
        <f t="shared" si="8"/>
        <v>0</v>
      </c>
      <c r="K59" s="897">
        <f t="shared" si="9"/>
        <v>0</v>
      </c>
      <c r="L59" s="747" t="str">
        <f t="shared" si="10"/>
        <v/>
      </c>
      <c r="M59" s="747" t="str">
        <f t="shared" si="11"/>
        <v/>
      </c>
      <c r="N59" s="747" t="str">
        <f t="shared" si="12"/>
        <v/>
      </c>
      <c r="O59" s="851"/>
      <c r="P59" s="851" t="s">
        <v>111</v>
      </c>
      <c r="Q59" s="851" t="s">
        <v>111</v>
      </c>
      <c r="R59" s="851" t="s">
        <v>111</v>
      </c>
      <c r="S59" s="851"/>
      <c r="T59" s="746"/>
      <c r="U59" s="746" t="s">
        <v>634</v>
      </c>
      <c r="V59" s="746" t="s">
        <v>635</v>
      </c>
      <c r="W59" s="746" t="s">
        <v>636</v>
      </c>
      <c r="X59" s="746"/>
      <c r="Y59" s="893"/>
      <c r="Z59" s="749"/>
      <c r="AA59" s="752"/>
      <c r="AB59" s="749"/>
      <c r="AC59" s="749"/>
      <c r="AD59" s="749"/>
    </row>
    <row r="60" spans="1:30" ht="81" customHeight="1">
      <c r="A60" s="748"/>
      <c r="B60" s="798">
        <v>43</v>
      </c>
      <c r="C60" s="746" t="s">
        <v>637</v>
      </c>
      <c r="D60" s="861" t="s">
        <v>637</v>
      </c>
      <c r="E60" s="746" t="s">
        <v>637</v>
      </c>
      <c r="F60" s="746" t="s">
        <v>637</v>
      </c>
      <c r="G60" s="746"/>
      <c r="H60" s="789"/>
      <c r="I60" s="897" t="str">
        <f t="shared" si="7"/>
        <v>6</v>
      </c>
      <c r="J60" s="897" t="str">
        <f t="shared" si="8"/>
        <v>Годовая бухгалтерская (финансовая) отчетность, включая бухгалтерский баланс и приложения к нему</v>
      </c>
      <c r="K60" s="897"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47" t="str">
        <f t="shared" si="10"/>
        <v>6</v>
      </c>
      <c r="M60" s="747" t="str">
        <f t="shared" si="11"/>
        <v>Годовая бухгалтерская (финансовая) отчетность, включая бухгалтерский баланс и приложения к нему</v>
      </c>
      <c r="N60" s="747"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51" t="s">
        <v>92</v>
      </c>
      <c r="P60" s="851" t="s">
        <v>92</v>
      </c>
      <c r="Q60" s="851" t="s">
        <v>92</v>
      </c>
      <c r="R60" s="851" t="s">
        <v>92</v>
      </c>
      <c r="S60" s="851"/>
      <c r="T60" s="746" t="s">
        <v>638</v>
      </c>
      <c r="U60" s="746" t="s">
        <v>638</v>
      </c>
      <c r="V60" s="746" t="s">
        <v>638</v>
      </c>
      <c r="W60" s="746" t="s">
        <v>638</v>
      </c>
      <c r="X60" s="746"/>
      <c r="Y60" s="893"/>
      <c r="Z60" s="749" t="s">
        <v>639</v>
      </c>
      <c r="AA60" s="752" t="s">
        <v>640</v>
      </c>
      <c r="AB60" s="749" t="s">
        <v>641</v>
      </c>
      <c r="AC60" s="749" t="s">
        <v>640</v>
      </c>
      <c r="AD60" s="749"/>
    </row>
    <row r="61" spans="1:30" ht="9" customHeight="1">
      <c r="A61" s="748"/>
      <c r="B61" s="798">
        <v>44</v>
      </c>
      <c r="C61" s="746"/>
      <c r="D61" s="861" t="s">
        <v>642</v>
      </c>
      <c r="E61" s="746"/>
      <c r="F61" s="746"/>
      <c r="G61" s="746"/>
      <c r="H61" s="789"/>
      <c r="I61" s="897">
        <f t="shared" si="7"/>
        <v>0</v>
      </c>
      <c r="J61" s="897">
        <f t="shared" si="8"/>
        <v>0</v>
      </c>
      <c r="K61" s="897">
        <f t="shared" si="9"/>
        <v>0</v>
      </c>
      <c r="L61" s="747" t="str">
        <f t="shared" si="10"/>
        <v/>
      </c>
      <c r="M61" s="747" t="str">
        <f t="shared" si="11"/>
        <v/>
      </c>
      <c r="N61" s="747" t="str">
        <f t="shared" si="12"/>
        <v/>
      </c>
      <c r="O61" s="851"/>
      <c r="P61" s="851" t="s">
        <v>93</v>
      </c>
      <c r="Q61" s="851"/>
      <c r="R61" s="851"/>
      <c r="S61" s="851"/>
      <c r="T61" s="746"/>
      <c r="U61" s="746" t="s">
        <v>643</v>
      </c>
      <c r="V61" s="746"/>
      <c r="W61" s="746"/>
      <c r="X61" s="746"/>
      <c r="Y61" s="893"/>
      <c r="Z61" s="749"/>
      <c r="AA61" s="752"/>
      <c r="AB61" s="749"/>
      <c r="AC61" s="749"/>
      <c r="AD61" s="749"/>
    </row>
    <row r="62" spans="1:30" ht="9" customHeight="1">
      <c r="A62" s="748"/>
      <c r="B62" s="798">
        <v>45</v>
      </c>
      <c r="C62" s="746"/>
      <c r="D62" s="861" t="s">
        <v>644</v>
      </c>
      <c r="E62" s="746"/>
      <c r="F62" s="746"/>
      <c r="G62" s="746"/>
      <c r="H62" s="789"/>
      <c r="I62" s="897">
        <f t="shared" si="7"/>
        <v>0</v>
      </c>
      <c r="J62" s="897">
        <f t="shared" si="8"/>
        <v>0</v>
      </c>
      <c r="K62" s="897">
        <f t="shared" si="9"/>
        <v>0</v>
      </c>
      <c r="L62" s="747" t="str">
        <f t="shared" si="10"/>
        <v/>
      </c>
      <c r="M62" s="747" t="str">
        <f t="shared" si="11"/>
        <v/>
      </c>
      <c r="N62" s="747" t="str">
        <f t="shared" si="12"/>
        <v/>
      </c>
      <c r="O62" s="851"/>
      <c r="P62" s="851" t="s">
        <v>112</v>
      </c>
      <c r="Q62" s="851"/>
      <c r="R62" s="851"/>
      <c r="S62" s="851"/>
      <c r="T62" s="746"/>
      <c r="U62" s="746" t="s">
        <v>645</v>
      </c>
      <c r="V62" s="746"/>
      <c r="W62" s="746"/>
      <c r="X62" s="746"/>
      <c r="Y62" s="893"/>
      <c r="Z62" s="749"/>
      <c r="AA62" s="752"/>
      <c r="AB62" s="749"/>
      <c r="AC62" s="749"/>
      <c r="AD62" s="749"/>
    </row>
    <row r="63" spans="1:30" ht="18" customHeight="1">
      <c r="A63" s="748"/>
      <c r="B63" s="798">
        <v>46</v>
      </c>
      <c r="C63" s="746"/>
      <c r="D63" s="861" t="s">
        <v>646</v>
      </c>
      <c r="E63" s="746"/>
      <c r="F63" s="746"/>
      <c r="G63" s="746"/>
      <c r="H63" s="789"/>
      <c r="I63" s="897">
        <f t="shared" si="7"/>
        <v>0</v>
      </c>
      <c r="J63" s="897">
        <f t="shared" si="8"/>
        <v>0</v>
      </c>
      <c r="K63" s="897">
        <f t="shared" si="9"/>
        <v>0</v>
      </c>
      <c r="L63" s="747" t="str">
        <f t="shared" si="10"/>
        <v/>
      </c>
      <c r="M63" s="747" t="str">
        <f t="shared" si="11"/>
        <v/>
      </c>
      <c r="N63" s="747" t="str">
        <f t="shared" si="12"/>
        <v/>
      </c>
      <c r="O63" s="851"/>
      <c r="P63" s="851" t="s">
        <v>149</v>
      </c>
      <c r="Q63" s="851"/>
      <c r="R63" s="851"/>
      <c r="S63" s="851"/>
      <c r="T63" s="746"/>
      <c r="U63" s="746" t="s">
        <v>647</v>
      </c>
      <c r="V63" s="746"/>
      <c r="W63" s="746"/>
      <c r="X63" s="746"/>
      <c r="Y63" s="893"/>
      <c r="Z63" s="749"/>
      <c r="AA63" s="752"/>
      <c r="AB63" s="749"/>
      <c r="AC63" s="749"/>
      <c r="AD63" s="749"/>
    </row>
    <row r="64" spans="1:30" ht="18" customHeight="1">
      <c r="A64" s="748"/>
      <c r="B64" s="798">
        <v>47</v>
      </c>
      <c r="C64" s="746"/>
      <c r="D64" s="861" t="s">
        <v>648</v>
      </c>
      <c r="E64" s="746"/>
      <c r="F64" s="746"/>
      <c r="G64" s="746"/>
      <c r="H64" s="789"/>
      <c r="I64" s="897">
        <f t="shared" si="7"/>
        <v>0</v>
      </c>
      <c r="J64" s="897">
        <f t="shared" si="8"/>
        <v>0</v>
      </c>
      <c r="K64" s="897">
        <f t="shared" si="9"/>
        <v>0</v>
      </c>
      <c r="L64" s="747" t="str">
        <f t="shared" si="10"/>
        <v/>
      </c>
      <c r="M64" s="747" t="str">
        <f t="shared" si="11"/>
        <v/>
      </c>
      <c r="N64" s="747" t="str">
        <f t="shared" si="12"/>
        <v/>
      </c>
      <c r="O64" s="851"/>
      <c r="P64" s="851" t="s">
        <v>150</v>
      </c>
      <c r="Q64" s="851"/>
      <c r="R64" s="851"/>
      <c r="S64" s="851"/>
      <c r="T64" s="746"/>
      <c r="U64" s="746" t="s">
        <v>649</v>
      </c>
      <c r="V64" s="746"/>
      <c r="W64" s="746"/>
      <c r="X64" s="746"/>
      <c r="Y64" s="893"/>
      <c r="Z64" s="749"/>
      <c r="AA64" s="752" t="s">
        <v>650</v>
      </c>
      <c r="AB64" s="749"/>
      <c r="AC64" s="749"/>
      <c r="AD64" s="749"/>
    </row>
    <row r="65" spans="1:30" ht="18" customHeight="1">
      <c r="A65" s="748"/>
      <c r="B65" s="798">
        <v>48</v>
      </c>
      <c r="C65" s="746"/>
      <c r="D65" s="861"/>
      <c r="E65" s="746"/>
      <c r="F65" s="746"/>
      <c r="G65" s="746"/>
      <c r="H65" s="789"/>
      <c r="I65" s="897">
        <f t="shared" si="7"/>
        <v>0</v>
      </c>
      <c r="J65" s="897">
        <f t="shared" si="8"/>
        <v>0</v>
      </c>
      <c r="K65" s="897">
        <f t="shared" si="9"/>
        <v>0</v>
      </c>
      <c r="L65" s="747" t="str">
        <f t="shared" si="10"/>
        <v/>
      </c>
      <c r="M65" s="747" t="str">
        <f t="shared" si="11"/>
        <v/>
      </c>
      <c r="N65" s="747" t="str">
        <f t="shared" si="12"/>
        <v/>
      </c>
      <c r="O65" s="851"/>
      <c r="P65" s="851" t="s">
        <v>545</v>
      </c>
      <c r="Q65" s="851"/>
      <c r="R65" s="851"/>
      <c r="S65" s="851"/>
      <c r="T65" s="746"/>
      <c r="U65" s="746" t="s">
        <v>651</v>
      </c>
      <c r="V65" s="746"/>
      <c r="W65" s="746"/>
      <c r="X65" s="746"/>
      <c r="Y65" s="893"/>
      <c r="Z65" s="749"/>
      <c r="AA65" s="752"/>
      <c r="AB65" s="749"/>
      <c r="AC65" s="749"/>
      <c r="AD65" s="749"/>
    </row>
    <row r="66" spans="1:30" ht="18" customHeight="1">
      <c r="A66" s="748"/>
      <c r="B66" s="798">
        <v>49</v>
      </c>
      <c r="C66" s="746"/>
      <c r="D66" s="861"/>
      <c r="E66" s="746"/>
      <c r="F66" s="746"/>
      <c r="G66" s="746"/>
      <c r="H66" s="789"/>
      <c r="I66" s="897">
        <f t="shared" si="7"/>
        <v>0</v>
      </c>
      <c r="J66" s="897">
        <f t="shared" si="8"/>
        <v>0</v>
      </c>
      <c r="K66" s="897">
        <f t="shared" si="9"/>
        <v>0</v>
      </c>
      <c r="L66" s="747" t="str">
        <f t="shared" si="10"/>
        <v/>
      </c>
      <c r="M66" s="747" t="str">
        <f t="shared" si="11"/>
        <v/>
      </c>
      <c r="N66" s="747" t="str">
        <f t="shared" si="12"/>
        <v/>
      </c>
      <c r="O66" s="851"/>
      <c r="P66" s="851" t="s">
        <v>549</v>
      </c>
      <c r="Q66" s="851"/>
      <c r="R66" s="851"/>
      <c r="S66" s="851"/>
      <c r="T66" s="746"/>
      <c r="U66" s="746" t="s">
        <v>652</v>
      </c>
      <c r="V66" s="746"/>
      <c r="W66" s="746"/>
      <c r="X66" s="746"/>
      <c r="Y66" s="893"/>
      <c r="Z66" s="749"/>
      <c r="AA66" s="752"/>
      <c r="AB66" s="749"/>
      <c r="AC66" s="749"/>
      <c r="AD66" s="749"/>
    </row>
    <row r="67" spans="1:30" ht="27" customHeight="1">
      <c r="A67" s="748"/>
      <c r="B67" s="798">
        <v>50</v>
      </c>
      <c r="C67" s="746"/>
      <c r="D67" s="861"/>
      <c r="E67" s="746"/>
      <c r="F67" s="746"/>
      <c r="G67" s="746"/>
      <c r="H67" s="789"/>
      <c r="I67" s="897">
        <f t="shared" si="7"/>
        <v>0</v>
      </c>
      <c r="J67" s="897">
        <f t="shared" si="8"/>
        <v>0</v>
      </c>
      <c r="K67" s="897">
        <f t="shared" si="9"/>
        <v>0</v>
      </c>
      <c r="L67" s="747" t="str">
        <f t="shared" si="10"/>
        <v/>
      </c>
      <c r="M67" s="747" t="str">
        <f t="shared" si="11"/>
        <v/>
      </c>
      <c r="N67" s="747" t="str">
        <f t="shared" si="12"/>
        <v/>
      </c>
      <c r="O67" s="851"/>
      <c r="P67" s="851" t="s">
        <v>653</v>
      </c>
      <c r="Q67" s="851"/>
      <c r="R67" s="851"/>
      <c r="S67" s="851"/>
      <c r="T67" s="746"/>
      <c r="U67" s="746" t="s">
        <v>654</v>
      </c>
      <c r="V67" s="746"/>
      <c r="W67" s="746"/>
      <c r="X67" s="746"/>
      <c r="Y67" s="893"/>
      <c r="Z67" s="749"/>
      <c r="AA67" s="752"/>
      <c r="AB67" s="749"/>
      <c r="AC67" s="749"/>
      <c r="AD67" s="749"/>
    </row>
    <row r="68" spans="1:30" ht="27" customHeight="1">
      <c r="A68" s="748"/>
      <c r="B68" s="798">
        <v>51</v>
      </c>
      <c r="C68" s="746"/>
      <c r="D68" s="861"/>
      <c r="E68" s="746"/>
      <c r="F68" s="746"/>
      <c r="G68" s="746"/>
      <c r="H68" s="789"/>
      <c r="I68" s="897">
        <f t="shared" si="7"/>
        <v>0</v>
      </c>
      <c r="J68" s="897">
        <f t="shared" si="8"/>
        <v>0</v>
      </c>
      <c r="K68" s="897">
        <f t="shared" si="9"/>
        <v>0</v>
      </c>
      <c r="L68" s="747" t="str">
        <f t="shared" si="10"/>
        <v/>
      </c>
      <c r="M68" s="747" t="str">
        <f t="shared" si="11"/>
        <v/>
      </c>
      <c r="N68" s="747" t="str">
        <f t="shared" si="12"/>
        <v/>
      </c>
      <c r="O68" s="851"/>
      <c r="P68" s="851" t="s">
        <v>655</v>
      </c>
      <c r="Q68" s="851"/>
      <c r="R68" s="851"/>
      <c r="S68" s="851"/>
      <c r="T68" s="746"/>
      <c r="U68" s="746" t="s">
        <v>656</v>
      </c>
      <c r="V68" s="746"/>
      <c r="W68" s="746"/>
      <c r="X68" s="746"/>
      <c r="Y68" s="893"/>
      <c r="Z68" s="749"/>
      <c r="AA68" s="752"/>
      <c r="AB68" s="749"/>
      <c r="AC68" s="749"/>
      <c r="AD68" s="749"/>
    </row>
    <row r="69" spans="1:30" ht="9" customHeight="1">
      <c r="A69" s="748"/>
      <c r="B69" s="798">
        <v>52</v>
      </c>
      <c r="C69" s="746"/>
      <c r="D69" s="861" t="s">
        <v>657</v>
      </c>
      <c r="E69" s="746"/>
      <c r="F69" s="746"/>
      <c r="G69" s="746"/>
      <c r="H69" s="789"/>
      <c r="I69" s="897">
        <f t="shared" si="7"/>
        <v>0</v>
      </c>
      <c r="J69" s="897">
        <f t="shared" si="8"/>
        <v>0</v>
      </c>
      <c r="K69" s="897">
        <f t="shared" si="9"/>
        <v>0</v>
      </c>
      <c r="L69" s="747" t="str">
        <f t="shared" si="10"/>
        <v/>
      </c>
      <c r="M69" s="747" t="str">
        <f t="shared" si="11"/>
        <v/>
      </c>
      <c r="N69" s="747" t="str">
        <f t="shared" si="12"/>
        <v/>
      </c>
      <c r="O69" s="851"/>
      <c r="P69" s="851" t="s">
        <v>151</v>
      </c>
      <c r="Q69" s="851"/>
      <c r="R69" s="851"/>
      <c r="S69" s="851"/>
      <c r="T69" s="746"/>
      <c r="U69" s="746" t="s">
        <v>658</v>
      </c>
      <c r="V69" s="746"/>
      <c r="W69" s="746"/>
      <c r="X69" s="746"/>
      <c r="Y69" s="893"/>
      <c r="Z69" s="749"/>
      <c r="AA69" s="752"/>
      <c r="AB69" s="749"/>
      <c r="AC69" s="749"/>
      <c r="AD69" s="749"/>
    </row>
    <row r="70" spans="1:30" ht="27" customHeight="1">
      <c r="A70" s="748"/>
      <c r="B70" s="798">
        <v>53</v>
      </c>
      <c r="C70" s="746"/>
      <c r="D70" s="861"/>
      <c r="E70" s="746" t="s">
        <v>642</v>
      </c>
      <c r="F70" s="746"/>
      <c r="G70" s="746"/>
      <c r="H70" s="789"/>
      <c r="I70" s="897">
        <f t="shared" si="7"/>
        <v>0</v>
      </c>
      <c r="J70" s="897">
        <f t="shared" si="8"/>
        <v>0</v>
      </c>
      <c r="K70" s="897">
        <f t="shared" si="9"/>
        <v>0</v>
      </c>
      <c r="L70" s="747" t="str">
        <f t="shared" si="10"/>
        <v/>
      </c>
      <c r="M70" s="747" t="str">
        <f t="shared" si="11"/>
        <v/>
      </c>
      <c r="N70" s="747" t="str">
        <f t="shared" si="12"/>
        <v/>
      </c>
      <c r="O70" s="851"/>
      <c r="P70" s="851"/>
      <c r="Q70" s="851" t="s">
        <v>93</v>
      </c>
      <c r="R70" s="851"/>
      <c r="S70" s="851"/>
      <c r="T70" s="746"/>
      <c r="U70" s="746"/>
      <c r="V70" s="746" t="s">
        <v>659</v>
      </c>
      <c r="W70" s="746"/>
      <c r="X70" s="746"/>
      <c r="Y70" s="893"/>
      <c r="Z70" s="749"/>
      <c r="AA70" s="752"/>
      <c r="AB70" s="749"/>
      <c r="AC70" s="749"/>
      <c r="AD70" s="749"/>
    </row>
    <row r="71" spans="1:30" ht="36" customHeight="1">
      <c r="A71" s="748"/>
      <c r="B71" s="798">
        <v>54</v>
      </c>
      <c r="C71" s="746"/>
      <c r="D71" s="861"/>
      <c r="E71" s="746" t="s">
        <v>644</v>
      </c>
      <c r="F71" s="746"/>
      <c r="G71" s="746"/>
      <c r="H71" s="789"/>
      <c r="I71" s="897">
        <f t="shared" si="7"/>
        <v>0</v>
      </c>
      <c r="J71" s="897">
        <f t="shared" si="8"/>
        <v>0</v>
      </c>
      <c r="K71" s="897">
        <f t="shared" si="9"/>
        <v>0</v>
      </c>
      <c r="L71" s="747" t="str">
        <f t="shared" si="10"/>
        <v/>
      </c>
      <c r="M71" s="747" t="str">
        <f t="shared" si="11"/>
        <v/>
      </c>
      <c r="N71" s="747" t="str">
        <f t="shared" si="12"/>
        <v/>
      </c>
      <c r="O71" s="851"/>
      <c r="P71" s="851"/>
      <c r="Q71" s="851" t="s">
        <v>112</v>
      </c>
      <c r="R71" s="851"/>
      <c r="S71" s="851"/>
      <c r="T71" s="746"/>
      <c r="U71" s="746"/>
      <c r="V71" s="746" t="s">
        <v>660</v>
      </c>
      <c r="W71" s="746"/>
      <c r="X71" s="746"/>
      <c r="Y71" s="893"/>
      <c r="Z71" s="749"/>
      <c r="AA71" s="752"/>
      <c r="AB71" s="749"/>
      <c r="AC71" s="749"/>
      <c r="AD71" s="749"/>
    </row>
    <row r="72" spans="1:30" ht="27" customHeight="1">
      <c r="A72" s="748"/>
      <c r="B72" s="798">
        <v>55</v>
      </c>
      <c r="C72" s="746"/>
      <c r="D72" s="861"/>
      <c r="E72" s="746" t="s">
        <v>646</v>
      </c>
      <c r="F72" s="746"/>
      <c r="G72" s="746"/>
      <c r="H72" s="789"/>
      <c r="I72" s="897">
        <f t="shared" si="7"/>
        <v>0</v>
      </c>
      <c r="J72" s="897">
        <f t="shared" si="8"/>
        <v>0</v>
      </c>
      <c r="K72" s="897">
        <f t="shared" si="9"/>
        <v>0</v>
      </c>
      <c r="L72" s="747" t="str">
        <f t="shared" si="10"/>
        <v/>
      </c>
      <c r="M72" s="747" t="str">
        <f t="shared" si="11"/>
        <v/>
      </c>
      <c r="N72" s="747" t="str">
        <f t="shared" si="12"/>
        <v/>
      </c>
      <c r="O72" s="851"/>
      <c r="P72" s="851"/>
      <c r="Q72" s="851" t="s">
        <v>149</v>
      </c>
      <c r="R72" s="851"/>
      <c r="S72" s="851"/>
      <c r="T72" s="746"/>
      <c r="U72" s="746"/>
      <c r="V72" s="746" t="s">
        <v>661</v>
      </c>
      <c r="W72" s="746"/>
      <c r="X72" s="746"/>
      <c r="Y72" s="893"/>
      <c r="Z72" s="749"/>
      <c r="AA72" s="752"/>
      <c r="AB72" s="749"/>
      <c r="AC72" s="749"/>
      <c r="AD72" s="749"/>
    </row>
    <row r="73" spans="1:30" ht="36" customHeight="1">
      <c r="A73" s="748"/>
      <c r="B73" s="798">
        <v>56</v>
      </c>
      <c r="C73" s="746"/>
      <c r="D73" s="861"/>
      <c r="E73" s="746" t="s">
        <v>648</v>
      </c>
      <c r="F73" s="746"/>
      <c r="G73" s="746"/>
      <c r="H73" s="789"/>
      <c r="I73" s="897">
        <f t="shared" si="7"/>
        <v>0</v>
      </c>
      <c r="J73" s="897">
        <f t="shared" si="8"/>
        <v>0</v>
      </c>
      <c r="K73" s="897">
        <f t="shared" si="9"/>
        <v>0</v>
      </c>
      <c r="L73" s="747" t="str">
        <f t="shared" si="10"/>
        <v/>
      </c>
      <c r="M73" s="747" t="str">
        <f t="shared" si="11"/>
        <v/>
      </c>
      <c r="N73" s="747" t="str">
        <f t="shared" si="12"/>
        <v/>
      </c>
      <c r="O73" s="851"/>
      <c r="P73" s="851"/>
      <c r="Q73" s="851" t="s">
        <v>150</v>
      </c>
      <c r="R73" s="851"/>
      <c r="S73" s="851"/>
      <c r="T73" s="746"/>
      <c r="U73" s="746"/>
      <c r="V73" s="746" t="s">
        <v>662</v>
      </c>
      <c r="W73" s="746"/>
      <c r="X73" s="746"/>
      <c r="Y73" s="893"/>
      <c r="Z73" s="749"/>
      <c r="AA73" s="752"/>
      <c r="AB73" s="749"/>
      <c r="AC73" s="749"/>
      <c r="AD73" s="749"/>
    </row>
    <row r="74" spans="1:30" ht="18" customHeight="1">
      <c r="A74" s="748"/>
      <c r="B74" s="798">
        <v>57</v>
      </c>
      <c r="C74" s="746"/>
      <c r="D74" s="861"/>
      <c r="E74" s="746" t="s">
        <v>657</v>
      </c>
      <c r="F74" s="746"/>
      <c r="G74" s="746"/>
      <c r="H74" s="789"/>
      <c r="I74" s="897">
        <f t="shared" si="7"/>
        <v>0</v>
      </c>
      <c r="J74" s="897">
        <f t="shared" si="8"/>
        <v>0</v>
      </c>
      <c r="K74" s="897">
        <f t="shared" si="9"/>
        <v>0</v>
      </c>
      <c r="L74" s="747" t="str">
        <f t="shared" si="10"/>
        <v/>
      </c>
      <c r="M74" s="747" t="str">
        <f t="shared" si="11"/>
        <v/>
      </c>
      <c r="N74" s="747" t="str">
        <f t="shared" si="12"/>
        <v/>
      </c>
      <c r="O74" s="851"/>
      <c r="P74" s="851"/>
      <c r="Q74" s="851" t="s">
        <v>151</v>
      </c>
      <c r="R74" s="851"/>
      <c r="S74" s="851"/>
      <c r="T74" s="746"/>
      <c r="U74" s="746"/>
      <c r="V74" s="746" t="s">
        <v>663</v>
      </c>
      <c r="W74" s="746"/>
      <c r="X74" s="746"/>
      <c r="Y74" s="893"/>
      <c r="Z74" s="749"/>
      <c r="AA74" s="752"/>
      <c r="AB74" s="749"/>
      <c r="AC74" s="749"/>
      <c r="AD74" s="749"/>
    </row>
    <row r="75" spans="1:30" ht="18" customHeight="1">
      <c r="A75" s="748"/>
      <c r="B75" s="798">
        <v>58</v>
      </c>
      <c r="C75" s="746"/>
      <c r="D75" s="861"/>
      <c r="E75" s="746"/>
      <c r="F75" s="746" t="s">
        <v>642</v>
      </c>
      <c r="G75" s="746"/>
      <c r="H75" s="789"/>
      <c r="I75" s="897">
        <f t="shared" si="7"/>
        <v>0</v>
      </c>
      <c r="J75" s="897">
        <f t="shared" si="8"/>
        <v>0</v>
      </c>
      <c r="K75" s="897">
        <f t="shared" si="9"/>
        <v>0</v>
      </c>
      <c r="L75" s="747" t="str">
        <f t="shared" si="10"/>
        <v/>
      </c>
      <c r="M75" s="747" t="str">
        <f t="shared" si="11"/>
        <v/>
      </c>
      <c r="N75" s="747" t="str">
        <f t="shared" si="12"/>
        <v/>
      </c>
      <c r="O75" s="851"/>
      <c r="P75" s="851"/>
      <c r="Q75" s="851"/>
      <c r="R75" s="851" t="s">
        <v>93</v>
      </c>
      <c r="S75" s="851"/>
      <c r="T75" s="746"/>
      <c r="U75" s="746"/>
      <c r="V75" s="746"/>
      <c r="W75" s="746" t="s">
        <v>664</v>
      </c>
      <c r="X75" s="746"/>
      <c r="Y75" s="893"/>
      <c r="Z75" s="749"/>
      <c r="AA75" s="752"/>
      <c r="AB75" s="749"/>
      <c r="AC75" s="749"/>
      <c r="AD75" s="749"/>
    </row>
    <row r="76" spans="1:30" ht="36" customHeight="1">
      <c r="A76" s="748"/>
      <c r="B76" s="798">
        <v>59</v>
      </c>
      <c r="C76" s="746"/>
      <c r="D76" s="861"/>
      <c r="E76" s="746"/>
      <c r="F76" s="746" t="s">
        <v>644</v>
      </c>
      <c r="G76" s="746"/>
      <c r="H76" s="789"/>
      <c r="I76" s="897">
        <f t="shared" si="7"/>
        <v>0</v>
      </c>
      <c r="J76" s="897">
        <f t="shared" si="8"/>
        <v>0</v>
      </c>
      <c r="K76" s="897">
        <f t="shared" si="9"/>
        <v>0</v>
      </c>
      <c r="L76" s="747" t="str">
        <f t="shared" si="10"/>
        <v/>
      </c>
      <c r="M76" s="747" t="str">
        <f t="shared" si="11"/>
        <v/>
      </c>
      <c r="N76" s="747" t="str">
        <f t="shared" si="12"/>
        <v/>
      </c>
      <c r="O76" s="851"/>
      <c r="P76" s="851"/>
      <c r="Q76" s="851"/>
      <c r="R76" s="851" t="s">
        <v>112</v>
      </c>
      <c r="S76" s="851"/>
      <c r="T76" s="746"/>
      <c r="U76" s="746"/>
      <c r="V76" s="746"/>
      <c r="W76" s="746" t="s">
        <v>665</v>
      </c>
      <c r="X76" s="746"/>
      <c r="Y76" s="893"/>
      <c r="Z76" s="749"/>
      <c r="AA76" s="752"/>
      <c r="AB76" s="749"/>
      <c r="AC76" s="749"/>
      <c r="AD76" s="749"/>
    </row>
    <row r="77" spans="1:30" ht="18" customHeight="1">
      <c r="A77" s="748"/>
      <c r="B77" s="798">
        <v>60</v>
      </c>
      <c r="C77" s="746"/>
      <c r="D77" s="861"/>
      <c r="E77" s="746"/>
      <c r="F77" s="746" t="s">
        <v>646</v>
      </c>
      <c r="G77" s="746"/>
      <c r="H77" s="789"/>
      <c r="I77" s="897">
        <f t="shared" si="7"/>
        <v>0</v>
      </c>
      <c r="J77" s="897">
        <f t="shared" si="8"/>
        <v>0</v>
      </c>
      <c r="K77" s="897">
        <f t="shared" si="9"/>
        <v>0</v>
      </c>
      <c r="L77" s="747" t="str">
        <f t="shared" si="10"/>
        <v/>
      </c>
      <c r="M77" s="747" t="str">
        <f t="shared" si="11"/>
        <v/>
      </c>
      <c r="N77" s="747" t="str">
        <f t="shared" si="12"/>
        <v/>
      </c>
      <c r="O77" s="851"/>
      <c r="P77" s="851"/>
      <c r="Q77" s="851"/>
      <c r="R77" s="851" t="s">
        <v>149</v>
      </c>
      <c r="S77" s="851"/>
      <c r="T77" s="746"/>
      <c r="U77" s="746"/>
      <c r="V77" s="746"/>
      <c r="W77" s="746" t="s">
        <v>666</v>
      </c>
      <c r="X77" s="746"/>
      <c r="Y77" s="893"/>
      <c r="Z77" s="749"/>
      <c r="AA77" s="752"/>
      <c r="AB77" s="749"/>
      <c r="AC77" s="749"/>
      <c r="AD77" s="749"/>
    </row>
    <row r="78" spans="1:30" ht="72" customHeight="1">
      <c r="A78" s="748"/>
      <c r="B78" s="798">
        <v>61</v>
      </c>
      <c r="C78" s="746" t="s">
        <v>642</v>
      </c>
      <c r="D78" s="861"/>
      <c r="E78" s="746"/>
      <c r="F78" s="746"/>
      <c r="G78" s="746"/>
      <c r="H78" s="789"/>
      <c r="I78" s="897" t="str">
        <f t="shared" si="7"/>
        <v>7</v>
      </c>
      <c r="J78" s="897"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897"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47" t="str">
        <f t="shared" si="10"/>
        <v>7</v>
      </c>
      <c r="M78" s="747"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47"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51" t="s">
        <v>93</v>
      </c>
      <c r="P78" s="851"/>
      <c r="Q78" s="851"/>
      <c r="R78" s="851"/>
      <c r="S78" s="851"/>
      <c r="T78" s="746" t="s">
        <v>667</v>
      </c>
      <c r="U78" s="746"/>
      <c r="V78" s="746"/>
      <c r="W78" s="746"/>
      <c r="X78" s="746"/>
      <c r="Y78" s="893"/>
      <c r="Z78" s="749" t="s">
        <v>668</v>
      </c>
      <c r="AA78" s="752"/>
      <c r="AB78" s="749"/>
      <c r="AC78" s="749"/>
      <c r="AD78" s="749"/>
    </row>
    <row r="79" spans="1:30" ht="36" customHeight="1">
      <c r="A79" s="748"/>
      <c r="B79" s="798">
        <v>62</v>
      </c>
      <c r="C79" s="746" t="s">
        <v>644</v>
      </c>
      <c r="D79" s="861"/>
      <c r="E79" s="746"/>
      <c r="F79" s="746"/>
      <c r="G79" s="746"/>
      <c r="H79" s="789"/>
      <c r="I79" s="897" t="str">
        <f t="shared" si="7"/>
        <v>8</v>
      </c>
      <c r="J79" s="897" t="str">
        <f t="shared" si="8"/>
        <v>Тепловая нагрузка по договорам, заключенным в рамках осуществления регулируемых видов деятельности</v>
      </c>
      <c r="K79" s="897"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47" t="str">
        <f t="shared" si="10"/>
        <v>8</v>
      </c>
      <c r="M79" s="747" t="str">
        <f t="shared" si="11"/>
        <v>Тепловая нагрузка по договорам, заключенным в рамках осуществления регулируемых видов деятельности</v>
      </c>
      <c r="N79" s="747"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51" t="s">
        <v>112</v>
      </c>
      <c r="P79" s="851"/>
      <c r="Q79" s="851"/>
      <c r="R79" s="851"/>
      <c r="S79" s="851"/>
      <c r="T79" s="746" t="s">
        <v>669</v>
      </c>
      <c r="U79" s="746"/>
      <c r="V79" s="746"/>
      <c r="W79" s="746"/>
      <c r="X79" s="746"/>
      <c r="Y79" s="893"/>
      <c r="Z79" s="749" t="s">
        <v>670</v>
      </c>
      <c r="AA79" s="752"/>
      <c r="AB79" s="749"/>
      <c r="AC79" s="749"/>
      <c r="AD79" s="749"/>
    </row>
    <row r="80" spans="1:30" ht="45" customHeight="1">
      <c r="A80" s="748"/>
      <c r="B80" s="798">
        <v>63</v>
      </c>
      <c r="C80" s="746" t="s">
        <v>646</v>
      </c>
      <c r="D80" s="861"/>
      <c r="E80" s="746"/>
      <c r="F80" s="746"/>
      <c r="G80" s="746"/>
      <c r="H80" s="789"/>
      <c r="I80" s="897" t="str">
        <f t="shared" si="7"/>
        <v>9</v>
      </c>
      <c r="J80" s="897" t="str">
        <f t="shared" si="8"/>
        <v>Объем вырабатываемой регулируемой организацией тепловой энергии в рамках осуществления регулируемых видов деятельности</v>
      </c>
      <c r="K80" s="897"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47" t="str">
        <f t="shared" si="10"/>
        <v>9</v>
      </c>
      <c r="M80" s="747" t="str">
        <f t="shared" si="11"/>
        <v>Объем вырабатываемой регулируемой организацией тепловой энергии в рамках осуществления регулируемых видов деятельности</v>
      </c>
      <c r="N80" s="747"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51" t="s">
        <v>149</v>
      </c>
      <c r="P80" s="851"/>
      <c r="Q80" s="851"/>
      <c r="R80" s="851"/>
      <c r="S80" s="851"/>
      <c r="T80" s="746" t="s">
        <v>671</v>
      </c>
      <c r="U80" s="746"/>
      <c r="V80" s="746"/>
      <c r="W80" s="746"/>
      <c r="X80" s="746"/>
      <c r="Y80" s="893"/>
      <c r="Z80" s="749" t="s">
        <v>672</v>
      </c>
      <c r="AA80" s="752"/>
      <c r="AB80" s="749"/>
      <c r="AC80" s="749"/>
      <c r="AD80" s="749"/>
    </row>
    <row r="81" spans="1:30" ht="36" customHeight="1">
      <c r="A81" s="748"/>
      <c r="B81" s="798">
        <v>64</v>
      </c>
      <c r="C81" s="746" t="s">
        <v>648</v>
      </c>
      <c r="D81" s="861"/>
      <c r="E81" s="746"/>
      <c r="F81" s="746"/>
      <c r="G81" s="746"/>
      <c r="H81" s="789"/>
      <c r="I81" s="897" t="str">
        <f t="shared" si="7"/>
        <v>9.1</v>
      </c>
      <c r="J81" s="897" t="str">
        <f t="shared" si="8"/>
        <v>Объем приобретаемой регулируемой организацией тепловой энергии в рамках осуществления регулируемых видов деятельности</v>
      </c>
      <c r="K81" s="897" t="str">
        <f t="shared" si="9"/>
        <v>Информация указывается только едиными теплоснабжающими организациями.</v>
      </c>
      <c r="L81" s="747" t="str">
        <f t="shared" si="10"/>
        <v>9.1</v>
      </c>
      <c r="M81" s="747" t="str">
        <f t="shared" si="11"/>
        <v>Объем приобретаемой регулируемой организацией тепловой энергии в рамках осуществления регулируемых видов деятельности</v>
      </c>
      <c r="N81" s="747" t="str">
        <f t="shared" si="12"/>
        <v>Информация указывается только едиными теплоснабжающими организациями.</v>
      </c>
      <c r="O81" s="851" t="s">
        <v>533</v>
      </c>
      <c r="P81" s="851"/>
      <c r="Q81" s="851"/>
      <c r="R81" s="851"/>
      <c r="S81" s="851"/>
      <c r="T81" s="746" t="s">
        <v>673</v>
      </c>
      <c r="U81" s="746"/>
      <c r="V81" s="746"/>
      <c r="W81" s="746"/>
      <c r="X81" s="746"/>
      <c r="Y81" s="893"/>
      <c r="Z81" s="749" t="s">
        <v>674</v>
      </c>
      <c r="AA81" s="752"/>
      <c r="AB81" s="749"/>
      <c r="AC81" s="749"/>
      <c r="AD81" s="749"/>
    </row>
    <row r="82" spans="1:30" ht="90" customHeight="1">
      <c r="A82" s="748"/>
      <c r="B82" s="798">
        <v>65</v>
      </c>
      <c r="C82" s="746" t="s">
        <v>657</v>
      </c>
      <c r="D82" s="861"/>
      <c r="E82" s="746"/>
      <c r="F82" s="746"/>
      <c r="G82" s="746"/>
      <c r="H82" s="789"/>
      <c r="I82" s="897" t="str">
        <f t="shared" ref="I82:I101" si="13">INDEX(TEMPLATE_NUMBER_POINT_FHD,B82,MATCH(TEMPLATE_SPHERE,TEMPLATE_SPHERE_LIST_FOR_NOTE,0))</f>
        <v>10</v>
      </c>
      <c r="J82" s="897"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897"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47" t="str">
        <f t="shared" ref="L82:L101" si="16">IF(I82=0,"",I82)</f>
        <v>10</v>
      </c>
      <c r="M82" s="747"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47"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51" t="s">
        <v>150</v>
      </c>
      <c r="P82" s="851"/>
      <c r="Q82" s="851"/>
      <c r="R82" s="851"/>
      <c r="S82" s="851"/>
      <c r="T82" s="746" t="s">
        <v>675</v>
      </c>
      <c r="U82" s="746"/>
      <c r="V82" s="746"/>
      <c r="W82" s="746"/>
      <c r="X82" s="746"/>
      <c r="Y82" s="893"/>
      <c r="Z82" s="749" t="s">
        <v>676</v>
      </c>
      <c r="AA82" s="752"/>
      <c r="AB82" s="749"/>
      <c r="AC82" s="749"/>
      <c r="AD82" s="749"/>
    </row>
    <row r="83" spans="1:30" ht="9" customHeight="1">
      <c r="A83" s="748"/>
      <c r="B83" s="798">
        <v>66</v>
      </c>
      <c r="C83" s="746"/>
      <c r="D83" s="861"/>
      <c r="E83" s="746"/>
      <c r="F83" s="746"/>
      <c r="G83" s="746"/>
      <c r="H83" s="789"/>
      <c r="I83" s="897" t="str">
        <f t="shared" si="13"/>
        <v>10.1</v>
      </c>
      <c r="J83" s="897" t="str">
        <f t="shared" si="14"/>
        <v xml:space="preserve">По приборам учёта </v>
      </c>
      <c r="K83" s="897">
        <f t="shared" si="15"/>
        <v>0</v>
      </c>
      <c r="L83" s="747" t="str">
        <f t="shared" si="16"/>
        <v>10.1</v>
      </c>
      <c r="M83" s="747" t="str">
        <f t="shared" si="17"/>
        <v xml:space="preserve">По приборам учёта </v>
      </c>
      <c r="N83" s="747" t="str">
        <f t="shared" si="18"/>
        <v/>
      </c>
      <c r="O83" s="851" t="s">
        <v>545</v>
      </c>
      <c r="P83" s="851"/>
      <c r="Q83" s="851"/>
      <c r="R83" s="851"/>
      <c r="S83" s="851"/>
      <c r="T83" s="746" t="s">
        <v>677</v>
      </c>
      <c r="U83" s="746"/>
      <c r="V83" s="746"/>
      <c r="W83" s="746"/>
      <c r="X83" s="746"/>
      <c r="Y83" s="893"/>
      <c r="Z83" s="749"/>
      <c r="AA83" s="752"/>
      <c r="AB83" s="749"/>
      <c r="AC83" s="749"/>
      <c r="AD83" s="749"/>
    </row>
    <row r="84" spans="1:30" ht="54" customHeight="1">
      <c r="A84" s="748"/>
      <c r="B84" s="798">
        <v>67</v>
      </c>
      <c r="C84" s="746"/>
      <c r="D84" s="861"/>
      <c r="E84" s="746"/>
      <c r="F84" s="746"/>
      <c r="G84" s="746"/>
      <c r="H84" s="789"/>
      <c r="I84" s="897" t="str">
        <f t="shared" si="13"/>
        <v>10.1.1</v>
      </c>
      <c r="J84" s="897"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897">
        <f t="shared" si="15"/>
        <v>0</v>
      </c>
      <c r="L84" s="747" t="str">
        <f t="shared" si="16"/>
        <v>10.1.1</v>
      </c>
      <c r="M84" s="747"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47" t="str">
        <f t="shared" si="18"/>
        <v/>
      </c>
      <c r="O84" s="851" t="s">
        <v>678</v>
      </c>
      <c r="P84" s="851"/>
      <c r="Q84" s="851"/>
      <c r="R84" s="851"/>
      <c r="S84" s="851"/>
      <c r="T84" s="746" t="s">
        <v>679</v>
      </c>
      <c r="U84" s="746"/>
      <c r="V84" s="746"/>
      <c r="W84" s="746"/>
      <c r="X84" s="746"/>
      <c r="Y84" s="893"/>
      <c r="Z84" s="749"/>
      <c r="AA84" s="752"/>
      <c r="AB84" s="749"/>
      <c r="AC84" s="749"/>
      <c r="AD84" s="749"/>
    </row>
    <row r="85" spans="1:30" ht="9" customHeight="1">
      <c r="A85" s="748"/>
      <c r="B85" s="798">
        <v>68</v>
      </c>
      <c r="C85" s="746"/>
      <c r="D85" s="861"/>
      <c r="E85" s="746"/>
      <c r="F85" s="746"/>
      <c r="G85" s="746"/>
      <c r="H85" s="789"/>
      <c r="I85" s="897" t="str">
        <f t="shared" si="13"/>
        <v>10.2</v>
      </c>
      <c r="J85" s="897" t="str">
        <f t="shared" si="14"/>
        <v>Расчётным путём</v>
      </c>
      <c r="K85" s="897">
        <f t="shared" si="15"/>
        <v>0</v>
      </c>
      <c r="L85" s="747" t="str">
        <f t="shared" si="16"/>
        <v>10.2</v>
      </c>
      <c r="M85" s="747" t="str">
        <f t="shared" si="17"/>
        <v>Расчётным путём</v>
      </c>
      <c r="N85" s="747" t="str">
        <f t="shared" si="18"/>
        <v/>
      </c>
      <c r="O85" s="851" t="s">
        <v>549</v>
      </c>
      <c r="P85" s="851"/>
      <c r="Q85" s="851"/>
      <c r="R85" s="851"/>
      <c r="S85" s="851"/>
      <c r="T85" s="746" t="s">
        <v>680</v>
      </c>
      <c r="U85" s="746"/>
      <c r="V85" s="746"/>
      <c r="W85" s="746"/>
      <c r="X85" s="746"/>
      <c r="Y85" s="893"/>
      <c r="Z85" s="749"/>
      <c r="AA85" s="752"/>
      <c r="AB85" s="749"/>
      <c r="AC85" s="749"/>
      <c r="AD85" s="749"/>
    </row>
    <row r="86" spans="1:30" ht="27" customHeight="1">
      <c r="A86" s="748"/>
      <c r="B86" s="798">
        <v>69</v>
      </c>
      <c r="C86" s="746"/>
      <c r="D86" s="861"/>
      <c r="E86" s="746"/>
      <c r="F86" s="746"/>
      <c r="G86" s="746"/>
      <c r="H86" s="789"/>
      <c r="I86" s="897" t="str">
        <f t="shared" si="13"/>
        <v>10.3</v>
      </c>
      <c r="J86" s="897" t="str">
        <f t="shared" si="14"/>
        <v>По нормативам потребления коммунальных услуг и нормативам потребления коммунальных ресурсов</v>
      </c>
      <c r="K86" s="897">
        <f t="shared" si="15"/>
        <v>0</v>
      </c>
      <c r="L86" s="747" t="str">
        <f t="shared" si="16"/>
        <v>10.3</v>
      </c>
      <c r="M86" s="747" t="str">
        <f t="shared" si="17"/>
        <v>По нормативам потребления коммунальных услуг и нормативам потребления коммунальных ресурсов</v>
      </c>
      <c r="N86" s="747" t="str">
        <f t="shared" si="18"/>
        <v/>
      </c>
      <c r="O86" s="851" t="s">
        <v>681</v>
      </c>
      <c r="P86" s="851"/>
      <c r="Q86" s="851"/>
      <c r="R86" s="851"/>
      <c r="S86" s="851"/>
      <c r="T86" s="746" t="s">
        <v>682</v>
      </c>
      <c r="U86" s="746"/>
      <c r="V86" s="746"/>
      <c r="W86" s="746"/>
      <c r="X86" s="746"/>
      <c r="Y86" s="893"/>
      <c r="Z86" s="749"/>
      <c r="AA86" s="752"/>
      <c r="AB86" s="749"/>
      <c r="AC86" s="749"/>
      <c r="AD86" s="749"/>
    </row>
    <row r="87" spans="1:30" ht="36" customHeight="1">
      <c r="A87" s="748"/>
      <c r="B87" s="798">
        <v>70</v>
      </c>
      <c r="C87" s="746" t="s">
        <v>683</v>
      </c>
      <c r="D87" s="861"/>
      <c r="E87" s="746"/>
      <c r="F87" s="746"/>
      <c r="G87" s="746"/>
      <c r="H87" s="789"/>
      <c r="I87" s="897" t="str">
        <f t="shared" si="13"/>
        <v>11</v>
      </c>
      <c r="J87" s="897"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897">
        <f t="shared" si="15"/>
        <v>0</v>
      </c>
      <c r="L87" s="747" t="str">
        <f t="shared" si="16"/>
        <v>11</v>
      </c>
      <c r="M87" s="747"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47" t="str">
        <f t="shared" si="18"/>
        <v/>
      </c>
      <c r="O87" s="851" t="s">
        <v>151</v>
      </c>
      <c r="P87" s="851"/>
      <c r="Q87" s="851"/>
      <c r="R87" s="851"/>
      <c r="S87" s="851"/>
      <c r="T87" s="746" t="s">
        <v>684</v>
      </c>
      <c r="U87" s="746"/>
      <c r="V87" s="746"/>
      <c r="W87" s="746"/>
      <c r="X87" s="746"/>
      <c r="Y87" s="893"/>
      <c r="Z87" s="749"/>
      <c r="AA87" s="752"/>
      <c r="AB87" s="749"/>
      <c r="AC87" s="749"/>
      <c r="AD87" s="749"/>
    </row>
    <row r="88" spans="1:30" ht="18" customHeight="1">
      <c r="A88" s="748"/>
      <c r="B88" s="798">
        <v>71</v>
      </c>
      <c r="C88" s="746" t="s">
        <v>685</v>
      </c>
      <c r="D88" s="861"/>
      <c r="E88" s="746"/>
      <c r="F88" s="746"/>
      <c r="G88" s="746"/>
      <c r="H88" s="789"/>
      <c r="I88" s="897" t="str">
        <f t="shared" si="13"/>
        <v>12</v>
      </c>
      <c r="J88" s="897" t="str">
        <f t="shared" si="14"/>
        <v>Фактический объем потерь при передаче тепловой энергии</v>
      </c>
      <c r="K88" s="897">
        <f t="shared" si="15"/>
        <v>0</v>
      </c>
      <c r="L88" s="747" t="str">
        <f t="shared" si="16"/>
        <v>12</v>
      </c>
      <c r="M88" s="747" t="str">
        <f t="shared" si="17"/>
        <v>Фактический объем потерь при передаче тепловой энергии</v>
      </c>
      <c r="N88" s="747" t="str">
        <f t="shared" si="18"/>
        <v/>
      </c>
      <c r="O88" s="851" t="s">
        <v>152</v>
      </c>
      <c r="P88" s="851"/>
      <c r="Q88" s="851"/>
      <c r="R88" s="851"/>
      <c r="S88" s="851"/>
      <c r="T88" s="746" t="s">
        <v>686</v>
      </c>
      <c r="U88" s="746"/>
      <c r="V88" s="746"/>
      <c r="W88" s="746"/>
      <c r="X88" s="746"/>
      <c r="Y88" s="893"/>
      <c r="Z88" s="749"/>
      <c r="AA88" s="752"/>
      <c r="AB88" s="749"/>
      <c r="AC88" s="749"/>
      <c r="AD88" s="749"/>
    </row>
    <row r="89" spans="1:30" ht="18" customHeight="1">
      <c r="A89" s="748"/>
      <c r="B89" s="798">
        <v>72</v>
      </c>
      <c r="C89" s="746" t="s">
        <v>687</v>
      </c>
      <c r="D89" s="861" t="s">
        <v>683</v>
      </c>
      <c r="E89" s="746" t="s">
        <v>683</v>
      </c>
      <c r="F89" s="746" t="s">
        <v>648</v>
      </c>
      <c r="G89" s="746"/>
      <c r="H89" s="789"/>
      <c r="I89" s="897" t="str">
        <f t="shared" si="13"/>
        <v>13</v>
      </c>
      <c r="J89" s="897" t="str">
        <f t="shared" si="14"/>
        <v>Среднесписочная численность основного производственного персонала</v>
      </c>
      <c r="K89" s="897">
        <f t="shared" si="15"/>
        <v>0</v>
      </c>
      <c r="L89" s="747" t="str">
        <f t="shared" si="16"/>
        <v>13</v>
      </c>
      <c r="M89" s="747" t="str">
        <f t="shared" si="17"/>
        <v>Среднесписочная численность основного производственного персонала</v>
      </c>
      <c r="N89" s="747" t="str">
        <f t="shared" si="18"/>
        <v/>
      </c>
      <c r="O89" s="851" t="s">
        <v>153</v>
      </c>
      <c r="P89" s="851" t="s">
        <v>152</v>
      </c>
      <c r="Q89" s="851" t="s">
        <v>152</v>
      </c>
      <c r="R89" s="851" t="s">
        <v>150</v>
      </c>
      <c r="S89" s="851"/>
      <c r="T89" s="746" t="s">
        <v>688</v>
      </c>
      <c r="U89" s="746" t="s">
        <v>688</v>
      </c>
      <c r="V89" s="746" t="s">
        <v>688</v>
      </c>
      <c r="W89" s="746" t="s">
        <v>688</v>
      </c>
      <c r="X89" s="746"/>
      <c r="Y89" s="893"/>
      <c r="Z89" s="749"/>
      <c r="AA89" s="752"/>
      <c r="AB89" s="749"/>
      <c r="AC89" s="749"/>
      <c r="AD89" s="749"/>
    </row>
    <row r="90" spans="1:30" ht="27" customHeight="1">
      <c r="A90" s="748"/>
      <c r="B90" s="798">
        <v>73</v>
      </c>
      <c r="C90" s="746" t="s">
        <v>689</v>
      </c>
      <c r="D90" s="861"/>
      <c r="E90" s="746"/>
      <c r="F90" s="746"/>
      <c r="G90" s="746"/>
      <c r="H90" s="789"/>
      <c r="I90" s="897" t="str">
        <f t="shared" si="13"/>
        <v>14</v>
      </c>
      <c r="J90" s="897" t="str">
        <f t="shared" si="14"/>
        <v>Среднесписочная численность административно-управленческого персонала</v>
      </c>
      <c r="K90" s="897">
        <f t="shared" si="15"/>
        <v>0</v>
      </c>
      <c r="L90" s="747" t="str">
        <f t="shared" si="16"/>
        <v>14</v>
      </c>
      <c r="M90" s="747" t="str">
        <f t="shared" si="17"/>
        <v>Среднесписочная численность административно-управленческого персонала</v>
      </c>
      <c r="N90" s="747" t="str">
        <f t="shared" si="18"/>
        <v/>
      </c>
      <c r="O90" s="851" t="s">
        <v>154</v>
      </c>
      <c r="P90" s="851"/>
      <c r="Q90" s="851"/>
      <c r="R90" s="851"/>
      <c r="S90" s="851"/>
      <c r="T90" s="746" t="s">
        <v>690</v>
      </c>
      <c r="U90" s="746"/>
      <c r="V90" s="746"/>
      <c r="W90" s="746"/>
      <c r="X90" s="746"/>
      <c r="Y90" s="893"/>
      <c r="Z90" s="749"/>
      <c r="AA90" s="752"/>
      <c r="AB90" s="749"/>
      <c r="AC90" s="749"/>
      <c r="AD90" s="749"/>
    </row>
    <row r="91" spans="1:30" ht="18" customHeight="1">
      <c r="A91" s="748"/>
      <c r="B91" s="798">
        <v>74</v>
      </c>
      <c r="C91" s="746"/>
      <c r="D91" s="861" t="s">
        <v>685</v>
      </c>
      <c r="E91" s="746" t="s">
        <v>685</v>
      </c>
      <c r="F91" s="746"/>
      <c r="G91" s="746"/>
      <c r="H91" s="789"/>
      <c r="I91" s="897">
        <f t="shared" si="13"/>
        <v>0</v>
      </c>
      <c r="J91" s="897">
        <f t="shared" si="14"/>
        <v>0</v>
      </c>
      <c r="K91" s="897">
        <f t="shared" si="15"/>
        <v>0</v>
      </c>
      <c r="L91" s="747" t="str">
        <f t="shared" si="16"/>
        <v/>
      </c>
      <c r="M91" s="747" t="str">
        <f t="shared" si="17"/>
        <v/>
      </c>
      <c r="N91" s="747" t="str">
        <f t="shared" si="18"/>
        <v/>
      </c>
      <c r="O91" s="851"/>
      <c r="P91" s="851" t="s">
        <v>153</v>
      </c>
      <c r="Q91" s="851" t="s">
        <v>153</v>
      </c>
      <c r="R91" s="851"/>
      <c r="S91" s="851"/>
      <c r="T91" s="746"/>
      <c r="U91" s="746" t="s">
        <v>691</v>
      </c>
      <c r="V91" s="746" t="s">
        <v>691</v>
      </c>
      <c r="W91" s="746"/>
      <c r="X91" s="746"/>
      <c r="Y91" s="893"/>
      <c r="Z91" s="749"/>
      <c r="AA91" s="752"/>
      <c r="AB91" s="749"/>
      <c r="AC91" s="749"/>
      <c r="AD91" s="749"/>
    </row>
    <row r="92" spans="1:30" ht="27" customHeight="1">
      <c r="A92" s="748"/>
      <c r="B92" s="798">
        <v>75</v>
      </c>
      <c r="C92" s="746"/>
      <c r="D92" s="861" t="s">
        <v>687</v>
      </c>
      <c r="E92" s="746"/>
      <c r="F92" s="746"/>
      <c r="G92" s="746"/>
      <c r="H92" s="789"/>
      <c r="I92" s="897">
        <f t="shared" si="13"/>
        <v>0</v>
      </c>
      <c r="J92" s="897">
        <f t="shared" si="14"/>
        <v>0</v>
      </c>
      <c r="K92" s="897">
        <f t="shared" si="15"/>
        <v>0</v>
      </c>
      <c r="L92" s="747" t="str">
        <f t="shared" si="16"/>
        <v/>
      </c>
      <c r="M92" s="747" t="str">
        <f t="shared" si="17"/>
        <v/>
      </c>
      <c r="N92" s="747" t="str">
        <f t="shared" si="18"/>
        <v/>
      </c>
      <c r="O92" s="851"/>
      <c r="P92" s="851" t="s">
        <v>154</v>
      </c>
      <c r="Q92" s="851"/>
      <c r="R92" s="851"/>
      <c r="S92" s="851"/>
      <c r="T92" s="746"/>
      <c r="U92" s="746" t="s">
        <v>692</v>
      </c>
      <c r="V92" s="746"/>
      <c r="W92" s="746"/>
      <c r="X92" s="746"/>
      <c r="Y92" s="893"/>
      <c r="Z92" s="749"/>
      <c r="AA92" s="752" t="s">
        <v>693</v>
      </c>
      <c r="AB92" s="749"/>
      <c r="AC92" s="749"/>
      <c r="AD92" s="749"/>
    </row>
    <row r="93" spans="1:30" ht="27" customHeight="1">
      <c r="A93" s="748"/>
      <c r="B93" s="798">
        <v>76</v>
      </c>
      <c r="C93" s="746"/>
      <c r="D93" s="861"/>
      <c r="E93" s="746"/>
      <c r="F93" s="746"/>
      <c r="G93" s="746"/>
      <c r="H93" s="789"/>
      <c r="I93" s="897">
        <f t="shared" si="13"/>
        <v>0</v>
      </c>
      <c r="J93" s="897">
        <f t="shared" si="14"/>
        <v>0</v>
      </c>
      <c r="K93" s="897">
        <f t="shared" si="15"/>
        <v>0</v>
      </c>
      <c r="L93" s="747" t="str">
        <f t="shared" si="16"/>
        <v/>
      </c>
      <c r="M93" s="747" t="str">
        <f t="shared" si="17"/>
        <v/>
      </c>
      <c r="N93" s="747" t="str">
        <f t="shared" si="18"/>
        <v/>
      </c>
      <c r="O93" s="851"/>
      <c r="P93" s="851" t="s">
        <v>579</v>
      </c>
      <c r="Q93" s="851"/>
      <c r="R93" s="851"/>
      <c r="S93" s="851"/>
      <c r="T93" s="746"/>
      <c r="U93" s="746" t="s">
        <v>694</v>
      </c>
      <c r="V93" s="746"/>
      <c r="W93" s="746"/>
      <c r="X93" s="746"/>
      <c r="Y93" s="893"/>
      <c r="Z93" s="749"/>
      <c r="AA93" s="752" t="s">
        <v>695</v>
      </c>
      <c r="AB93" s="749"/>
      <c r="AC93" s="749"/>
      <c r="AD93" s="749"/>
    </row>
    <row r="94" spans="1:30" ht="45" customHeight="1">
      <c r="A94" s="748"/>
      <c r="B94" s="798">
        <v>77</v>
      </c>
      <c r="C94" s="746"/>
      <c r="D94" s="861" t="s">
        <v>689</v>
      </c>
      <c r="E94" s="746"/>
      <c r="F94" s="746"/>
      <c r="G94" s="746"/>
      <c r="H94" s="789"/>
      <c r="I94" s="897">
        <f t="shared" si="13"/>
        <v>0</v>
      </c>
      <c r="J94" s="897">
        <f t="shared" si="14"/>
        <v>0</v>
      </c>
      <c r="K94" s="897">
        <f t="shared" si="15"/>
        <v>0</v>
      </c>
      <c r="L94" s="747" t="str">
        <f t="shared" si="16"/>
        <v/>
      </c>
      <c r="M94" s="747" t="str">
        <f t="shared" si="17"/>
        <v/>
      </c>
      <c r="N94" s="747" t="str">
        <f t="shared" si="18"/>
        <v/>
      </c>
      <c r="O94" s="851"/>
      <c r="P94" s="851" t="s">
        <v>696</v>
      </c>
      <c r="Q94" s="851"/>
      <c r="R94" s="851"/>
      <c r="S94" s="851"/>
      <c r="T94" s="746"/>
      <c r="U94" s="746" t="s">
        <v>697</v>
      </c>
      <c r="V94" s="746"/>
      <c r="W94" s="746"/>
      <c r="X94" s="746"/>
      <c r="Y94" s="893"/>
      <c r="Z94" s="749"/>
      <c r="AA94" s="752" t="s">
        <v>698</v>
      </c>
      <c r="AB94" s="749"/>
      <c r="AC94" s="749"/>
      <c r="AD94" s="749"/>
    </row>
    <row r="95" spans="1:30" ht="99" customHeight="1">
      <c r="A95" s="748"/>
      <c r="B95" s="798">
        <v>78</v>
      </c>
      <c r="C95" s="746" t="s">
        <v>699</v>
      </c>
      <c r="D95" s="861"/>
      <c r="E95" s="746"/>
      <c r="F95" s="746"/>
      <c r="G95" s="746"/>
      <c r="H95" s="789"/>
      <c r="I95" s="897" t="str">
        <f t="shared" si="13"/>
        <v>15</v>
      </c>
      <c r="J95" s="897"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897">
        <f t="shared" si="15"/>
        <v>0</v>
      </c>
      <c r="L95" s="747" t="str">
        <f t="shared" si="16"/>
        <v>15</v>
      </c>
      <c r="M95" s="747"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47" t="str">
        <f t="shared" si="18"/>
        <v/>
      </c>
      <c r="O95" s="851" t="s">
        <v>696</v>
      </c>
      <c r="P95" s="851"/>
      <c r="Q95" s="851"/>
      <c r="R95" s="851"/>
      <c r="S95" s="851"/>
      <c r="T95" s="746" t="s">
        <v>700</v>
      </c>
      <c r="U95" s="746"/>
      <c r="V95" s="746"/>
      <c r="W95" s="746"/>
      <c r="X95" s="746"/>
      <c r="Y95" s="893"/>
      <c r="Z95" s="749"/>
      <c r="AA95" s="752"/>
      <c r="AB95" s="749"/>
      <c r="AC95" s="749"/>
      <c r="AD95" s="749"/>
    </row>
    <row r="96" spans="1:30" ht="99" customHeight="1">
      <c r="A96" s="748"/>
      <c r="B96" s="798">
        <v>79</v>
      </c>
      <c r="C96" s="746" t="s">
        <v>701</v>
      </c>
      <c r="D96" s="861"/>
      <c r="E96" s="746"/>
      <c r="F96" s="746"/>
      <c r="G96" s="746"/>
      <c r="H96" s="789"/>
      <c r="I96" s="897" t="str">
        <f t="shared" si="13"/>
        <v>16</v>
      </c>
      <c r="J96" s="897"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897"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47" t="str">
        <f t="shared" si="16"/>
        <v>16</v>
      </c>
      <c r="M96" s="747"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47"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51" t="s">
        <v>398</v>
      </c>
      <c r="P96" s="851"/>
      <c r="Q96" s="851"/>
      <c r="R96" s="851"/>
      <c r="S96" s="851"/>
      <c r="T96" s="746" t="s">
        <v>702</v>
      </c>
      <c r="U96" s="746"/>
      <c r="V96" s="746"/>
      <c r="W96" s="746"/>
      <c r="X96" s="746"/>
      <c r="Y96" s="893"/>
      <c r="Z96" s="749" t="s">
        <v>703</v>
      </c>
      <c r="AA96" s="752"/>
      <c r="AB96" s="749"/>
      <c r="AC96" s="749"/>
      <c r="AD96" s="749"/>
    </row>
    <row r="97" spans="1:30" ht="63" customHeight="1">
      <c r="A97" s="748"/>
      <c r="B97" s="798">
        <v>80</v>
      </c>
      <c r="C97" s="746" t="s">
        <v>704</v>
      </c>
      <c r="D97" s="861"/>
      <c r="E97" s="746"/>
      <c r="F97" s="746"/>
      <c r="G97" s="746"/>
      <c r="H97" s="789"/>
      <c r="I97" s="897" t="str">
        <f t="shared" si="13"/>
        <v>17</v>
      </c>
      <c r="J97" s="897"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897" t="str">
        <f t="shared" si="15"/>
        <v>Регулируемыми организациями указывается информация с по договорам, заключенным в рамках осуществления регулируемой деятельности.</v>
      </c>
      <c r="L97" s="747" t="str">
        <f t="shared" si="16"/>
        <v>17</v>
      </c>
      <c r="M97" s="747"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47" t="str">
        <f t="shared" si="18"/>
        <v>Регулируемыми организациями указывается информация с по договорам, заключенным в рамках осуществления регулируемой деятельности.</v>
      </c>
      <c r="O97" s="851" t="s">
        <v>705</v>
      </c>
      <c r="P97" s="851"/>
      <c r="Q97" s="851"/>
      <c r="R97" s="851"/>
      <c r="S97" s="851"/>
      <c r="T97" s="746" t="s">
        <v>706</v>
      </c>
      <c r="U97" s="746"/>
      <c r="V97" s="746"/>
      <c r="W97" s="746"/>
      <c r="X97" s="746"/>
      <c r="Y97" s="893"/>
      <c r="Z97" s="749" t="s">
        <v>707</v>
      </c>
      <c r="AA97" s="752"/>
      <c r="AB97" s="749"/>
      <c r="AC97" s="749"/>
      <c r="AD97" s="749"/>
    </row>
    <row r="98" spans="1:30" ht="63" customHeight="1">
      <c r="A98" s="748"/>
      <c r="B98" s="798">
        <v>81</v>
      </c>
      <c r="C98" s="746" t="s">
        <v>708</v>
      </c>
      <c r="D98" s="861"/>
      <c r="E98" s="746"/>
      <c r="F98" s="746"/>
      <c r="G98" s="746"/>
      <c r="H98" s="789"/>
      <c r="I98" s="897" t="str">
        <f t="shared" si="13"/>
        <v>18</v>
      </c>
      <c r="J98" s="897"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897" t="str">
        <f t="shared" si="15"/>
        <v>Регулируемыми организациями указывается информация с по договорам, заключенным в рамках осуществления регулируемой деятельности.</v>
      </c>
      <c r="L98" s="747" t="str">
        <f t="shared" si="16"/>
        <v>18</v>
      </c>
      <c r="M98" s="747"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47" t="str">
        <f t="shared" si="18"/>
        <v>Регулируемыми организациями указывается информация с по договорам, заключенным в рамках осуществления регулируемой деятельности.</v>
      </c>
      <c r="O98" s="851" t="s">
        <v>709</v>
      </c>
      <c r="P98" s="851"/>
      <c r="Q98" s="851"/>
      <c r="R98" s="851"/>
      <c r="S98" s="851"/>
      <c r="T98" s="746" t="s">
        <v>710</v>
      </c>
      <c r="U98" s="746"/>
      <c r="V98" s="746"/>
      <c r="W98" s="746"/>
      <c r="X98" s="746"/>
      <c r="Y98" s="893"/>
      <c r="Z98" s="749" t="s">
        <v>707</v>
      </c>
      <c r="AA98" s="752"/>
      <c r="AB98" s="749"/>
      <c r="AC98" s="749"/>
      <c r="AD98" s="749"/>
    </row>
    <row r="99" spans="1:30" ht="90" customHeight="1">
      <c r="A99" s="748"/>
      <c r="B99" s="798">
        <v>82</v>
      </c>
      <c r="C99" s="746" t="s">
        <v>711</v>
      </c>
      <c r="D99" s="861"/>
      <c r="E99" s="746"/>
      <c r="F99" s="746"/>
      <c r="G99" s="746"/>
      <c r="H99" s="789"/>
      <c r="I99" s="897" t="str">
        <f t="shared" si="13"/>
        <v>19</v>
      </c>
      <c r="J99" s="897"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897" t="str">
        <f t="shared" si="15"/>
        <v>Указывается ссылка на документ, предварительно загруженный в хранилище файлов ФГИС ЕИАС.</v>
      </c>
      <c r="L99" s="747" t="str">
        <f t="shared" si="16"/>
        <v>19</v>
      </c>
      <c r="M99" s="747"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47" t="str">
        <f t="shared" si="18"/>
        <v>Указывается ссылка на документ, предварительно загруженный в хранилище файлов ФГИС ЕИАС.</v>
      </c>
      <c r="O99" s="851" t="s">
        <v>460</v>
      </c>
      <c r="P99" s="851"/>
      <c r="Q99" s="851"/>
      <c r="R99" s="851"/>
      <c r="S99" s="851"/>
      <c r="T99" s="746" t="s">
        <v>712</v>
      </c>
      <c r="U99" s="746"/>
      <c r="V99" s="746"/>
      <c r="W99" s="746"/>
      <c r="X99" s="746"/>
      <c r="Y99" s="893"/>
      <c r="Z99" s="749" t="s">
        <v>713</v>
      </c>
      <c r="AA99" s="752"/>
      <c r="AB99" s="749"/>
      <c r="AC99" s="749"/>
      <c r="AD99" s="749"/>
    </row>
    <row r="100" spans="1:30" ht="27" customHeight="1">
      <c r="A100" s="748"/>
      <c r="B100" s="798">
        <v>83</v>
      </c>
      <c r="C100" s="746"/>
      <c r="D100" s="861"/>
      <c r="E100" s="746"/>
      <c r="F100" s="746"/>
      <c r="G100" s="746"/>
      <c r="H100" s="789"/>
      <c r="I100" s="897" t="str">
        <f t="shared" si="13"/>
        <v>19.1</v>
      </c>
      <c r="J100" s="897" t="str">
        <f t="shared" si="14"/>
        <v>Информация о показателях физического износа объектов теплоснабжения</v>
      </c>
      <c r="K100" s="897" t="str">
        <f t="shared" si="15"/>
        <v>Указывается ссылка на документ, предварительно загруженный в хранилище файлов ФГИС ЕИАС.</v>
      </c>
      <c r="L100" s="747" t="str">
        <f t="shared" si="16"/>
        <v>19.1</v>
      </c>
      <c r="M100" s="747" t="str">
        <f t="shared" si="17"/>
        <v>Информация о показателях физического износа объектов теплоснабжения</v>
      </c>
      <c r="N100" s="747" t="str">
        <f t="shared" si="18"/>
        <v>Указывается ссылка на документ, предварительно загруженный в хранилище файлов ФГИС ЕИАС.</v>
      </c>
      <c r="O100" s="851" t="s">
        <v>714</v>
      </c>
      <c r="P100" s="851"/>
      <c r="Q100" s="851"/>
      <c r="R100" s="851"/>
      <c r="S100" s="851"/>
      <c r="T100" s="746" t="s">
        <v>715</v>
      </c>
      <c r="U100" s="746"/>
      <c r="V100" s="746"/>
      <c r="W100" s="746"/>
      <c r="X100" s="746"/>
      <c r="Y100" s="893"/>
      <c r="Z100" s="749" t="s">
        <v>713</v>
      </c>
      <c r="AA100" s="752"/>
      <c r="AB100" s="749"/>
      <c r="AC100" s="749"/>
      <c r="AD100" s="749"/>
    </row>
    <row r="101" spans="1:30" ht="27" customHeight="1">
      <c r="A101" s="748"/>
      <c r="B101" s="798">
        <v>84</v>
      </c>
      <c r="C101" s="746"/>
      <c r="D101" s="861"/>
      <c r="E101" s="746"/>
      <c r="F101" s="746"/>
      <c r="G101" s="746"/>
      <c r="H101" s="789"/>
      <c r="I101" s="897" t="str">
        <f t="shared" si="13"/>
        <v>19.2</v>
      </c>
      <c r="J101" s="897" t="str">
        <f t="shared" si="14"/>
        <v>Информация о показателях энергетической эффективности объектов теплоснабжения</v>
      </c>
      <c r="K101" s="897" t="str">
        <f t="shared" si="15"/>
        <v>Указывается ссылка на документ, предварительно загруженный в хранилище файлов ФГИС ЕИАС.</v>
      </c>
      <c r="L101" s="747" t="str">
        <f t="shared" si="16"/>
        <v>19.2</v>
      </c>
      <c r="M101" s="747" t="str">
        <f t="shared" si="17"/>
        <v>Информация о показателях энергетической эффективности объектов теплоснабжения</v>
      </c>
      <c r="N101" s="747" t="str">
        <f t="shared" si="18"/>
        <v>Указывается ссылка на документ, предварительно загруженный в хранилище файлов ФГИС ЕИАС.</v>
      </c>
      <c r="O101" s="851" t="s">
        <v>716</v>
      </c>
      <c r="P101" s="851"/>
      <c r="Q101" s="851"/>
      <c r="R101" s="851"/>
      <c r="S101" s="851"/>
      <c r="T101" s="746" t="s">
        <v>717</v>
      </c>
      <c r="U101" s="746"/>
      <c r="V101" s="746"/>
      <c r="W101" s="746"/>
      <c r="X101" s="746"/>
      <c r="Y101" s="893"/>
      <c r="Z101" s="749" t="s">
        <v>713</v>
      </c>
      <c r="AA101" s="752"/>
      <c r="AB101" s="749"/>
      <c r="AC101" s="749"/>
      <c r="AD101" s="749"/>
    </row>
    <row r="102" spans="1:30" ht="9" customHeight="1">
      <c r="A102" s="748"/>
      <c r="B102" s="748"/>
      <c r="C102" s="746"/>
      <c r="D102" s="746"/>
      <c r="E102" s="746"/>
      <c r="F102" s="746"/>
      <c r="G102" s="746"/>
      <c r="H102" s="789"/>
      <c r="I102" s="789"/>
      <c r="J102" s="789"/>
      <c r="K102" s="789"/>
      <c r="L102" s="789"/>
      <c r="M102" s="746"/>
      <c r="N102" s="788"/>
      <c r="O102" s="851"/>
      <c r="P102" s="851"/>
      <c r="Q102" s="851"/>
      <c r="R102" s="851"/>
      <c r="S102" s="746"/>
      <c r="T102" s="746"/>
      <c r="U102" s="746"/>
      <c r="V102" s="746"/>
      <c r="W102" s="746"/>
      <c r="X102" s="746"/>
      <c r="Y102" s="893"/>
      <c r="Z102" s="749"/>
      <c r="AA102" s="752"/>
      <c r="AB102" s="749"/>
      <c r="AC102" s="749"/>
      <c r="AD102" s="749"/>
    </row>
    <row r="103" spans="1:30" ht="9" customHeight="1">
      <c r="A103" s="748"/>
      <c r="B103" s="748"/>
      <c r="C103" s="746"/>
      <c r="D103" s="746"/>
      <c r="E103" s="746"/>
      <c r="F103" s="746"/>
      <c r="G103" s="746"/>
      <c r="H103" s="789"/>
      <c r="I103" s="789"/>
      <c r="J103" s="789"/>
      <c r="K103" s="789"/>
      <c r="L103" s="789"/>
      <c r="M103" s="746"/>
      <c r="N103" s="788"/>
      <c r="O103" s="851"/>
      <c r="P103" s="851"/>
      <c r="Q103" s="851"/>
      <c r="R103" s="851"/>
      <c r="S103" s="746"/>
      <c r="T103" s="746"/>
      <c r="U103" s="746"/>
      <c r="V103" s="746"/>
      <c r="W103" s="746"/>
      <c r="X103" s="746"/>
      <c r="Y103" s="893"/>
      <c r="Z103" s="749"/>
      <c r="AA103" s="752"/>
      <c r="AB103" s="749"/>
      <c r="AC103" s="749"/>
      <c r="AD103" s="749"/>
    </row>
    <row r="104" spans="1:30" ht="9" customHeight="1">
      <c r="A104" s="748"/>
      <c r="B104" s="748"/>
      <c r="C104" s="746"/>
      <c r="D104" s="746"/>
      <c r="E104" s="746"/>
      <c r="F104" s="746"/>
      <c r="G104" s="746"/>
      <c r="H104" s="789"/>
      <c r="I104" s="789"/>
      <c r="J104" s="789"/>
      <c r="K104" s="789"/>
      <c r="L104" s="789"/>
      <c r="M104" s="746"/>
      <c r="N104" s="788"/>
      <c r="O104" s="851"/>
      <c r="P104" s="851"/>
      <c r="Q104" s="851"/>
      <c r="R104" s="851"/>
      <c r="S104" s="746"/>
      <c r="T104" s="746"/>
      <c r="U104" s="746"/>
      <c r="V104" s="746"/>
      <c r="W104" s="746"/>
      <c r="X104" s="746"/>
      <c r="Y104" s="893"/>
      <c r="Z104" s="749"/>
      <c r="AA104" s="752"/>
      <c r="AB104" s="749"/>
      <c r="AC104" s="749"/>
      <c r="AD104" s="749"/>
    </row>
    <row r="105" spans="1:30" ht="9" customHeight="1">
      <c r="A105" s="748"/>
      <c r="B105" s="748"/>
      <c r="C105" s="746"/>
      <c r="D105" s="746"/>
      <c r="E105" s="746"/>
      <c r="F105" s="746"/>
      <c r="G105" s="746"/>
      <c r="H105" s="789"/>
      <c r="I105" s="789"/>
      <c r="J105" s="789"/>
      <c r="K105" s="789"/>
      <c r="L105" s="789"/>
      <c r="M105" s="746"/>
      <c r="N105" s="788"/>
      <c r="O105" s="851"/>
      <c r="P105" s="851"/>
      <c r="Q105" s="851"/>
      <c r="R105" s="851"/>
      <c r="S105" s="746"/>
      <c r="T105" s="746"/>
      <c r="U105" s="746"/>
      <c r="V105" s="746"/>
      <c r="W105" s="746"/>
      <c r="X105" s="746"/>
      <c r="Y105" s="893"/>
      <c r="Z105" s="749"/>
      <c r="AA105" s="752"/>
      <c r="AB105" s="749"/>
      <c r="AC105" s="749"/>
      <c r="AD105" s="749"/>
    </row>
    <row r="106" spans="1:30" ht="9" customHeight="1">
      <c r="A106" s="748"/>
      <c r="B106" s="748"/>
      <c r="C106" s="746"/>
      <c r="D106" s="746"/>
      <c r="E106" s="746"/>
      <c r="F106" s="746"/>
      <c r="G106" s="746"/>
      <c r="H106" s="789"/>
      <c r="I106" s="789"/>
      <c r="J106" s="789"/>
      <c r="K106" s="789"/>
      <c r="L106" s="789"/>
      <c r="M106" s="746"/>
      <c r="N106" s="788"/>
      <c r="O106" s="851"/>
      <c r="P106" s="851"/>
      <c r="Q106" s="851"/>
      <c r="R106" s="851"/>
      <c r="S106" s="746"/>
      <c r="T106" s="746"/>
      <c r="U106" s="746"/>
      <c r="V106" s="746"/>
      <c r="W106" s="746"/>
      <c r="X106" s="746"/>
      <c r="Y106" s="893"/>
      <c r="Z106" s="749"/>
      <c r="AA106" s="752"/>
      <c r="AB106" s="749"/>
      <c r="AC106" s="749"/>
      <c r="AD106" s="749"/>
    </row>
    <row r="107" spans="1:30" ht="9" customHeight="1">
      <c r="A107" s="748"/>
      <c r="B107" s="748"/>
      <c r="C107" s="746"/>
      <c r="D107" s="746"/>
      <c r="E107" s="746"/>
      <c r="F107" s="746"/>
      <c r="G107" s="746"/>
      <c r="H107" s="789"/>
      <c r="I107" s="789"/>
      <c r="J107" s="789"/>
      <c r="K107" s="789"/>
      <c r="L107" s="789"/>
      <c r="M107" s="746"/>
      <c r="N107" s="788"/>
      <c r="O107" s="851"/>
      <c r="P107" s="851"/>
      <c r="Q107" s="851"/>
      <c r="R107" s="851"/>
      <c r="S107" s="746"/>
      <c r="T107" s="746"/>
      <c r="U107" s="746"/>
      <c r="V107" s="746"/>
      <c r="W107" s="746"/>
      <c r="X107" s="746"/>
      <c r="Y107" s="893"/>
      <c r="Z107" s="749"/>
      <c r="AA107" s="752"/>
      <c r="AB107" s="749"/>
      <c r="AC107" s="749"/>
      <c r="AD107" s="749"/>
    </row>
    <row r="108" spans="1:30" ht="9" customHeight="1">
      <c r="A108" s="748"/>
      <c r="B108" s="748"/>
      <c r="C108" s="746"/>
      <c r="D108" s="746"/>
      <c r="E108" s="746"/>
      <c r="F108" s="746"/>
      <c r="G108" s="746"/>
      <c r="H108" s="789"/>
      <c r="I108" s="789"/>
      <c r="J108" s="789"/>
      <c r="K108" s="789"/>
      <c r="L108" s="789"/>
      <c r="M108" s="746"/>
      <c r="N108" s="788"/>
      <c r="O108" s="851"/>
      <c r="P108" s="851"/>
      <c r="Q108" s="851"/>
      <c r="R108" s="851"/>
      <c r="S108" s="746"/>
      <c r="T108" s="746"/>
      <c r="U108" s="746"/>
      <c r="V108" s="746"/>
      <c r="W108" s="746"/>
      <c r="X108" s="746"/>
      <c r="Y108" s="893"/>
      <c r="Z108" s="749"/>
      <c r="AA108" s="752"/>
      <c r="AB108" s="749"/>
      <c r="AC108" s="749"/>
      <c r="AD108" s="749"/>
    </row>
    <row r="109" spans="1:30" ht="9" customHeight="1">
      <c r="A109" s="748"/>
      <c r="B109" s="748"/>
      <c r="C109" s="746"/>
      <c r="D109" s="746"/>
      <c r="E109" s="746"/>
      <c r="F109" s="746"/>
      <c r="G109" s="746"/>
      <c r="H109" s="789"/>
      <c r="I109" s="789"/>
      <c r="J109" s="789"/>
      <c r="K109" s="789"/>
      <c r="L109" s="789"/>
      <c r="M109" s="746"/>
      <c r="N109" s="788"/>
      <c r="O109" s="851"/>
      <c r="P109" s="851"/>
      <c r="Q109" s="851"/>
      <c r="R109" s="851"/>
      <c r="S109" s="746"/>
      <c r="T109" s="746"/>
      <c r="U109" s="746"/>
      <c r="V109" s="746"/>
      <c r="W109" s="746"/>
      <c r="X109" s="746"/>
      <c r="Y109" s="893"/>
      <c r="Z109" s="749"/>
      <c r="AA109" s="752"/>
      <c r="AB109" s="749"/>
      <c r="AC109" s="749"/>
      <c r="AD109" s="749"/>
    </row>
    <row r="110" spans="1:30" ht="9" customHeight="1">
      <c r="A110" s="748"/>
      <c r="B110" s="748"/>
      <c r="C110" s="746"/>
      <c r="D110" s="746"/>
      <c r="E110" s="746"/>
      <c r="F110" s="746"/>
      <c r="G110" s="746"/>
      <c r="H110" s="789"/>
      <c r="I110" s="789"/>
      <c r="J110" s="789"/>
      <c r="K110" s="789"/>
      <c r="L110" s="789"/>
      <c r="M110" s="746"/>
      <c r="N110" s="788"/>
      <c r="O110" s="851"/>
      <c r="P110" s="851"/>
      <c r="Q110" s="851"/>
      <c r="R110" s="851"/>
      <c r="S110" s="746"/>
      <c r="T110" s="746"/>
      <c r="U110" s="746"/>
      <c r="V110" s="746"/>
      <c r="W110" s="746"/>
      <c r="X110" s="746"/>
      <c r="Y110" s="893"/>
      <c r="Z110" s="749"/>
      <c r="AA110" s="752"/>
      <c r="AB110" s="749"/>
      <c r="AC110" s="749"/>
      <c r="AD110" s="749"/>
    </row>
    <row r="111" spans="1:30" ht="9" customHeight="1">
      <c r="A111" s="748"/>
      <c r="B111" s="748"/>
      <c r="C111" s="746"/>
      <c r="D111" s="746"/>
      <c r="E111" s="746"/>
      <c r="F111" s="746"/>
      <c r="G111" s="746"/>
      <c r="H111" s="789"/>
      <c r="I111" s="789"/>
      <c r="J111" s="789"/>
      <c r="K111" s="789"/>
      <c r="L111" s="789"/>
      <c r="M111" s="746"/>
      <c r="N111" s="788"/>
      <c r="O111" s="851"/>
      <c r="P111" s="851"/>
      <c r="Q111" s="851"/>
      <c r="R111" s="851"/>
      <c r="S111" s="746"/>
      <c r="T111" s="746"/>
      <c r="U111" s="746"/>
      <c r="V111" s="746"/>
      <c r="W111" s="746"/>
      <c r="X111" s="746"/>
      <c r="Y111" s="893"/>
      <c r="Z111" s="749"/>
      <c r="AA111" s="752"/>
      <c r="AB111" s="749"/>
      <c r="AC111" s="749"/>
      <c r="AD111" s="749"/>
    </row>
    <row r="112" spans="1:30" ht="9" customHeight="1">
      <c r="A112" s="748"/>
      <c r="B112" s="748"/>
      <c r="C112" s="746"/>
      <c r="D112" s="746"/>
      <c r="E112" s="746"/>
      <c r="F112" s="746"/>
      <c r="G112" s="746"/>
      <c r="H112" s="789"/>
      <c r="I112" s="789"/>
      <c r="J112" s="789"/>
      <c r="K112" s="789"/>
      <c r="L112" s="789"/>
      <c r="M112" s="746"/>
      <c r="N112" s="788"/>
      <c r="O112" s="851"/>
      <c r="P112" s="851"/>
      <c r="Q112" s="851"/>
      <c r="R112" s="851"/>
      <c r="S112" s="746"/>
      <c r="T112" s="746"/>
      <c r="U112" s="746"/>
      <c r="V112" s="746"/>
      <c r="W112" s="746"/>
      <c r="X112" s="746"/>
      <c r="Y112" s="893"/>
      <c r="Z112" s="749"/>
      <c r="AA112" s="752"/>
      <c r="AB112" s="749"/>
      <c r="AC112" s="749"/>
      <c r="AD112" s="749"/>
    </row>
    <row r="113" spans="1:30" ht="9" customHeight="1">
      <c r="A113" s="748"/>
      <c r="B113" s="748"/>
      <c r="C113" s="746"/>
      <c r="D113" s="746"/>
      <c r="E113" s="746"/>
      <c r="F113" s="746"/>
      <c r="G113" s="746"/>
      <c r="H113" s="789"/>
      <c r="I113" s="789"/>
      <c r="J113" s="789"/>
      <c r="K113" s="789"/>
      <c r="L113" s="789"/>
      <c r="M113" s="746"/>
      <c r="N113" s="788"/>
      <c r="O113" s="851"/>
      <c r="P113" s="851"/>
      <c r="Q113" s="851"/>
      <c r="R113" s="851"/>
      <c r="S113" s="746"/>
      <c r="T113" s="746"/>
      <c r="U113" s="746"/>
      <c r="V113" s="746"/>
      <c r="W113" s="746"/>
      <c r="X113" s="746"/>
      <c r="Y113" s="893"/>
      <c r="Z113" s="749"/>
      <c r="AA113" s="752"/>
      <c r="AB113" s="749"/>
      <c r="AC113" s="749"/>
      <c r="AD113" s="749"/>
    </row>
    <row r="114" spans="1:30" ht="9" customHeight="1">
      <c r="A114" s="748"/>
      <c r="B114" s="748"/>
      <c r="C114" s="746"/>
      <c r="D114" s="746"/>
      <c r="E114" s="746"/>
      <c r="F114" s="746"/>
      <c r="G114" s="746"/>
      <c r="H114" s="789"/>
      <c r="I114" s="789"/>
      <c r="J114" s="789"/>
      <c r="K114" s="789"/>
      <c r="L114" s="789"/>
      <c r="M114" s="746"/>
      <c r="N114" s="788"/>
      <c r="O114" s="851"/>
      <c r="P114" s="851"/>
      <c r="Q114" s="851"/>
      <c r="R114" s="851"/>
      <c r="S114" s="746"/>
      <c r="T114" s="746"/>
      <c r="U114" s="746"/>
      <c r="V114" s="746"/>
      <c r="W114" s="746"/>
      <c r="X114" s="746"/>
      <c r="Y114" s="893"/>
      <c r="Z114" s="749"/>
      <c r="AA114" s="752"/>
      <c r="AB114" s="749"/>
      <c r="AC114" s="749"/>
      <c r="AD114" s="749"/>
    </row>
    <row r="115" spans="1:30" ht="9" customHeight="1">
      <c r="A115" s="748"/>
      <c r="B115" s="748"/>
      <c r="C115" s="746"/>
      <c r="D115" s="746"/>
      <c r="E115" s="746"/>
      <c r="F115" s="746"/>
      <c r="G115" s="746"/>
      <c r="H115" s="789"/>
      <c r="I115" s="789"/>
      <c r="J115" s="789"/>
      <c r="K115" s="789"/>
      <c r="L115" s="789"/>
      <c r="M115" s="746"/>
      <c r="N115" s="788"/>
      <c r="O115" s="851"/>
      <c r="P115" s="851"/>
      <c r="Q115" s="851"/>
      <c r="R115" s="851"/>
      <c r="S115" s="746"/>
      <c r="T115" s="746"/>
      <c r="U115" s="746"/>
      <c r="V115" s="746"/>
      <c r="W115" s="746"/>
      <c r="X115" s="746"/>
      <c r="Y115" s="893"/>
      <c r="Z115" s="749"/>
      <c r="AA115" s="752"/>
      <c r="AB115" s="749"/>
      <c r="AC115" s="749"/>
      <c r="AD115" s="749"/>
    </row>
    <row r="116" spans="1:30" ht="9" customHeight="1">
      <c r="A116" s="748"/>
      <c r="B116" s="748"/>
      <c r="C116" s="746"/>
      <c r="D116" s="746"/>
      <c r="E116" s="746"/>
      <c r="F116" s="746"/>
      <c r="G116" s="746"/>
      <c r="H116" s="789"/>
      <c r="I116" s="789"/>
      <c r="J116" s="789"/>
      <c r="K116" s="789"/>
      <c r="L116" s="789"/>
      <c r="M116" s="746"/>
      <c r="N116" s="788"/>
      <c r="O116" s="851"/>
      <c r="P116" s="851"/>
      <c r="Q116" s="851"/>
      <c r="R116" s="851"/>
      <c r="S116" s="746"/>
      <c r="T116" s="746"/>
      <c r="U116" s="746"/>
      <c r="V116" s="746"/>
      <c r="W116" s="746"/>
      <c r="X116" s="746"/>
      <c r="Y116" s="893"/>
      <c r="Z116" s="749"/>
      <c r="AA116" s="752"/>
      <c r="AB116" s="749"/>
      <c r="AC116" s="749"/>
      <c r="AD116" s="749"/>
    </row>
    <row r="117" spans="1:30" ht="9" customHeight="1">
      <c r="A117" s="748"/>
      <c r="B117" s="748"/>
      <c r="C117" s="746"/>
      <c r="D117" s="746"/>
      <c r="E117" s="746"/>
      <c r="F117" s="746"/>
      <c r="G117" s="746"/>
      <c r="H117" s="789"/>
      <c r="I117" s="789"/>
      <c r="J117" s="789"/>
      <c r="K117" s="789"/>
      <c r="L117" s="789"/>
      <c r="M117" s="746"/>
      <c r="N117" s="788"/>
      <c r="O117" s="851"/>
      <c r="P117" s="851"/>
      <c r="Q117" s="851"/>
      <c r="R117" s="851"/>
      <c r="S117" s="746"/>
      <c r="T117" s="746"/>
      <c r="U117" s="746"/>
      <c r="V117" s="746"/>
      <c r="W117" s="746"/>
      <c r="X117" s="746"/>
      <c r="Y117" s="893"/>
      <c r="Z117" s="749"/>
      <c r="AA117" s="752"/>
      <c r="AB117" s="749"/>
      <c r="AC117" s="749"/>
      <c r="AD117" s="749"/>
    </row>
    <row r="118" spans="1:30" ht="9" customHeight="1">
      <c r="A118" s="748"/>
      <c r="B118" s="748"/>
      <c r="C118" s="746"/>
      <c r="D118" s="746"/>
      <c r="E118" s="746"/>
      <c r="F118" s="746"/>
      <c r="G118" s="746"/>
      <c r="H118" s="789"/>
      <c r="I118" s="789"/>
      <c r="J118" s="789"/>
      <c r="K118" s="789"/>
      <c r="L118" s="789"/>
      <c r="M118" s="746"/>
      <c r="N118" s="788"/>
      <c r="O118" s="851"/>
      <c r="P118" s="851"/>
      <c r="Q118" s="851"/>
      <c r="R118" s="851"/>
      <c r="S118" s="746"/>
      <c r="T118" s="746"/>
      <c r="U118" s="746"/>
      <c r="V118" s="746"/>
      <c r="W118" s="746"/>
      <c r="X118" s="746"/>
      <c r="Y118" s="893"/>
      <c r="Z118" s="749"/>
      <c r="AA118" s="752"/>
      <c r="AB118" s="749"/>
      <c r="AC118" s="749"/>
      <c r="AD118" s="749"/>
    </row>
    <row r="119" spans="1:30" ht="9" customHeight="1">
      <c r="A119" s="748"/>
      <c r="B119" s="748"/>
      <c r="C119" s="746"/>
      <c r="D119" s="746"/>
      <c r="E119" s="746"/>
      <c r="F119" s="746"/>
      <c r="G119" s="746"/>
      <c r="H119" s="789"/>
      <c r="I119" s="789"/>
      <c r="J119" s="789"/>
      <c r="K119" s="789"/>
      <c r="L119" s="789"/>
      <c r="M119" s="746"/>
      <c r="N119" s="788"/>
      <c r="O119" s="851"/>
      <c r="P119" s="851"/>
      <c r="Q119" s="851"/>
      <c r="R119" s="851"/>
      <c r="S119" s="746"/>
      <c r="T119" s="746"/>
      <c r="U119" s="746"/>
      <c r="V119" s="746"/>
      <c r="W119" s="746"/>
      <c r="X119" s="746"/>
      <c r="Y119" s="893"/>
      <c r="Z119" s="749"/>
      <c r="AA119" s="752"/>
      <c r="AB119" s="749"/>
      <c r="AC119" s="749"/>
      <c r="AD119" s="749"/>
    </row>
    <row r="120" spans="1:30" ht="9" customHeight="1">
      <c r="A120" s="748"/>
      <c r="B120" s="748"/>
      <c r="C120" s="746"/>
      <c r="D120" s="746"/>
      <c r="E120" s="746"/>
      <c r="F120" s="746"/>
      <c r="G120" s="746"/>
      <c r="H120" s="789"/>
      <c r="I120" s="789"/>
      <c r="J120" s="789"/>
      <c r="K120" s="789"/>
      <c r="L120" s="789"/>
      <c r="M120" s="746"/>
      <c r="N120" s="788"/>
      <c r="O120" s="851"/>
      <c r="P120" s="851"/>
      <c r="Q120" s="851"/>
      <c r="R120" s="851"/>
      <c r="S120" s="746"/>
      <c r="T120" s="746"/>
      <c r="U120" s="746"/>
      <c r="V120" s="746"/>
      <c r="W120" s="746"/>
      <c r="X120" s="746"/>
      <c r="Y120" s="893"/>
      <c r="Z120" s="749"/>
      <c r="AA120" s="752"/>
      <c r="AB120" s="749"/>
      <c r="AC120" s="749"/>
      <c r="AD120" s="749"/>
    </row>
    <row r="121" spans="1:30" ht="9" customHeight="1">
      <c r="A121" s="748"/>
      <c r="B121" s="748"/>
      <c r="C121" s="746"/>
      <c r="D121" s="746"/>
      <c r="E121" s="746"/>
      <c r="F121" s="746"/>
      <c r="G121" s="746"/>
      <c r="H121" s="789"/>
      <c r="I121" s="789"/>
      <c r="J121" s="789"/>
      <c r="K121" s="789"/>
      <c r="L121" s="789"/>
      <c r="M121" s="746"/>
      <c r="N121" s="788"/>
      <c r="O121" s="851"/>
      <c r="P121" s="851"/>
      <c r="Q121" s="851"/>
      <c r="R121" s="851"/>
      <c r="S121" s="746"/>
      <c r="T121" s="746"/>
      <c r="U121" s="746"/>
      <c r="V121" s="746"/>
      <c r="W121" s="746"/>
      <c r="X121" s="746"/>
      <c r="Y121" s="893"/>
      <c r="Z121" s="749"/>
      <c r="AA121" s="752"/>
      <c r="AB121" s="749"/>
      <c r="AC121" s="749"/>
      <c r="AD121" s="749"/>
    </row>
    <row r="122" spans="1:30" ht="9" customHeight="1">
      <c r="A122" s="748"/>
      <c r="B122" s="748"/>
      <c r="C122" s="746"/>
      <c r="D122" s="746"/>
      <c r="E122" s="746"/>
      <c r="F122" s="746"/>
      <c r="G122" s="746"/>
      <c r="H122" s="789"/>
      <c r="I122" s="789"/>
      <c r="J122" s="789"/>
      <c r="K122" s="789"/>
      <c r="L122" s="789"/>
      <c r="M122" s="746"/>
      <c r="N122" s="788"/>
      <c r="O122" s="851"/>
      <c r="P122" s="851"/>
      <c r="Q122" s="851"/>
      <c r="R122" s="851"/>
      <c r="S122" s="746"/>
      <c r="T122" s="746"/>
      <c r="U122" s="746"/>
      <c r="V122" s="746"/>
      <c r="W122" s="746"/>
      <c r="X122" s="746"/>
      <c r="Y122" s="893"/>
      <c r="Z122" s="749"/>
      <c r="AA122" s="752"/>
      <c r="AB122" s="749"/>
      <c r="AC122" s="749"/>
      <c r="AD122" s="749"/>
    </row>
    <row r="123" spans="1:30" ht="9" customHeight="1">
      <c r="A123" s="748"/>
      <c r="B123" s="748"/>
      <c r="C123" s="746"/>
      <c r="D123" s="746"/>
      <c r="E123" s="746"/>
      <c r="F123" s="746"/>
      <c r="G123" s="746"/>
      <c r="H123" s="789"/>
      <c r="I123" s="789"/>
      <c r="J123" s="789"/>
      <c r="K123" s="789"/>
      <c r="L123" s="789"/>
      <c r="M123" s="746"/>
      <c r="N123" s="788"/>
      <c r="O123" s="851"/>
      <c r="P123" s="851"/>
      <c r="Q123" s="851"/>
      <c r="R123" s="851"/>
      <c r="S123" s="746"/>
      <c r="T123" s="746"/>
      <c r="U123" s="746"/>
      <c r="V123" s="746"/>
      <c r="W123" s="746"/>
      <c r="X123" s="746"/>
      <c r="Y123" s="893"/>
      <c r="Z123" s="749"/>
      <c r="AA123" s="752"/>
      <c r="AB123" s="749"/>
      <c r="AC123" s="749"/>
      <c r="AD123" s="749"/>
    </row>
    <row r="124" spans="1:30" ht="9" customHeight="1">
      <c r="A124" s="748"/>
      <c r="B124" s="748"/>
      <c r="C124" s="746"/>
      <c r="D124" s="746"/>
      <c r="E124" s="746"/>
      <c r="F124" s="746"/>
      <c r="G124" s="746"/>
      <c r="H124" s="789"/>
      <c r="I124" s="789"/>
      <c r="J124" s="789"/>
      <c r="K124" s="789"/>
      <c r="L124" s="789"/>
      <c r="M124" s="746"/>
      <c r="N124" s="788"/>
      <c r="O124" s="851"/>
      <c r="P124" s="851"/>
      <c r="Q124" s="851"/>
      <c r="R124" s="851"/>
      <c r="S124" s="746"/>
      <c r="T124" s="746"/>
      <c r="U124" s="746"/>
      <c r="V124" s="746"/>
      <c r="W124" s="746"/>
      <c r="X124" s="746"/>
      <c r="Y124" s="893"/>
      <c r="Z124" s="749"/>
      <c r="AA124" s="752"/>
      <c r="AB124" s="749"/>
      <c r="AC124" s="749"/>
      <c r="AD124" s="749"/>
    </row>
    <row r="125" spans="1:30" ht="9" customHeight="1">
      <c r="A125" s="748"/>
      <c r="B125" s="748"/>
      <c r="C125" s="746"/>
      <c r="D125" s="746"/>
      <c r="E125" s="746"/>
      <c r="F125" s="746"/>
      <c r="G125" s="746"/>
      <c r="H125" s="789"/>
      <c r="I125" s="789"/>
      <c r="J125" s="789"/>
      <c r="K125" s="789"/>
      <c r="L125" s="789"/>
      <c r="M125" s="746"/>
      <c r="N125" s="788"/>
      <c r="O125" s="851"/>
      <c r="P125" s="851"/>
      <c r="Q125" s="851"/>
      <c r="R125" s="851"/>
      <c r="S125" s="746"/>
      <c r="T125" s="746"/>
      <c r="U125" s="746"/>
      <c r="V125" s="746"/>
      <c r="W125" s="746"/>
      <c r="X125" s="746"/>
      <c r="Y125" s="893"/>
      <c r="Z125" s="749"/>
      <c r="AA125" s="752"/>
      <c r="AB125" s="749"/>
      <c r="AC125" s="749"/>
      <c r="AD125" s="749"/>
    </row>
    <row r="126" spans="1:30" ht="9" customHeight="1">
      <c r="A126" s="748"/>
      <c r="B126" s="748"/>
      <c r="C126" s="746"/>
      <c r="D126" s="746"/>
      <c r="E126" s="746"/>
      <c r="F126" s="746"/>
      <c r="G126" s="746"/>
      <c r="H126" s="789"/>
      <c r="I126" s="789"/>
      <c r="J126" s="789"/>
      <c r="K126" s="789"/>
      <c r="L126" s="789"/>
      <c r="M126" s="746"/>
      <c r="N126" s="788"/>
      <c r="O126" s="851"/>
      <c r="P126" s="851"/>
      <c r="Q126" s="851"/>
      <c r="R126" s="851"/>
      <c r="S126" s="746"/>
      <c r="T126" s="746"/>
      <c r="U126" s="746"/>
      <c r="V126" s="746"/>
      <c r="W126" s="746"/>
      <c r="X126" s="746"/>
      <c r="Y126" s="893"/>
      <c r="Z126" s="749"/>
      <c r="AA126" s="752"/>
      <c r="AB126" s="749"/>
      <c r="AC126" s="749"/>
      <c r="AD126" s="749"/>
    </row>
    <row r="127" spans="1:30" ht="9" customHeight="1">
      <c r="A127" s="748"/>
      <c r="B127" s="748"/>
      <c r="C127" s="746"/>
      <c r="D127" s="746"/>
      <c r="E127" s="746"/>
      <c r="F127" s="746"/>
      <c r="G127" s="746"/>
      <c r="H127" s="789"/>
      <c r="I127" s="789"/>
      <c r="J127" s="789"/>
      <c r="K127" s="789"/>
      <c r="L127" s="789"/>
      <c r="M127" s="746"/>
      <c r="N127" s="788"/>
      <c r="O127" s="851"/>
      <c r="P127" s="851"/>
      <c r="Q127" s="851"/>
      <c r="R127" s="851"/>
      <c r="S127" s="746"/>
      <c r="T127" s="746"/>
      <c r="U127" s="746"/>
      <c r="V127" s="746"/>
      <c r="W127" s="746"/>
      <c r="X127" s="746"/>
      <c r="Y127" s="893"/>
      <c r="Z127" s="749"/>
      <c r="AA127" s="752"/>
      <c r="AB127" s="749"/>
      <c r="AC127" s="749"/>
      <c r="AD127" s="749"/>
    </row>
    <row r="128" spans="1:30" ht="9" customHeight="1">
      <c r="A128" s="748"/>
      <c r="B128" s="748"/>
      <c r="C128" s="746"/>
      <c r="D128" s="746"/>
      <c r="E128" s="746"/>
      <c r="F128" s="746"/>
      <c r="G128" s="746"/>
      <c r="H128" s="789"/>
      <c r="I128" s="789"/>
      <c r="J128" s="789"/>
      <c r="K128" s="789"/>
      <c r="L128" s="789"/>
      <c r="M128" s="746"/>
      <c r="N128" s="788"/>
      <c r="O128" s="851"/>
      <c r="P128" s="851"/>
      <c r="Q128" s="851"/>
      <c r="R128" s="851"/>
      <c r="S128" s="746"/>
      <c r="T128" s="746"/>
      <c r="U128" s="746"/>
      <c r="V128" s="746"/>
      <c r="W128" s="746"/>
      <c r="X128" s="746"/>
      <c r="Y128" s="893"/>
      <c r="Z128" s="749"/>
      <c r="AA128" s="752"/>
      <c r="AB128" s="749"/>
      <c r="AC128" s="749"/>
      <c r="AD128" s="749"/>
    </row>
    <row r="129" spans="1:30" ht="9" customHeight="1">
      <c r="A129" s="748"/>
      <c r="B129" s="748"/>
      <c r="C129" s="746"/>
      <c r="D129" s="746"/>
      <c r="E129" s="746"/>
      <c r="F129" s="746"/>
      <c r="G129" s="746"/>
      <c r="H129" s="789"/>
      <c r="I129" s="789"/>
      <c r="J129" s="789"/>
      <c r="K129" s="789"/>
      <c r="L129" s="789"/>
      <c r="M129" s="746"/>
      <c r="N129" s="788"/>
      <c r="O129" s="851"/>
      <c r="P129" s="851"/>
      <c r="Q129" s="851"/>
      <c r="R129" s="851"/>
      <c r="S129" s="746"/>
      <c r="T129" s="746"/>
      <c r="U129" s="746"/>
      <c r="V129" s="746"/>
      <c r="W129" s="746"/>
      <c r="X129" s="746"/>
      <c r="Y129" s="893"/>
      <c r="Z129" s="749"/>
      <c r="AA129" s="752"/>
      <c r="AB129" s="749"/>
      <c r="AC129" s="749"/>
      <c r="AD129" s="749"/>
    </row>
    <row r="130" spans="1:30" ht="9" customHeight="1">
      <c r="A130" s="748"/>
      <c r="B130" s="748"/>
      <c r="C130" s="746"/>
      <c r="D130" s="746"/>
      <c r="E130" s="746"/>
      <c r="F130" s="746"/>
      <c r="G130" s="746"/>
      <c r="H130" s="789"/>
      <c r="I130" s="789"/>
      <c r="J130" s="789"/>
      <c r="K130" s="789"/>
      <c r="L130" s="789"/>
      <c r="M130" s="746"/>
      <c r="N130" s="788"/>
      <c r="O130" s="853"/>
      <c r="P130" s="853"/>
      <c r="Q130" s="853"/>
      <c r="R130" s="853"/>
      <c r="S130" s="746"/>
      <c r="T130" s="746"/>
      <c r="U130" s="746"/>
      <c r="V130" s="746"/>
      <c r="W130" s="746"/>
      <c r="X130" s="746"/>
      <c r="Y130" s="893"/>
      <c r="Z130" s="749"/>
      <c r="AA130" s="752"/>
      <c r="AB130" s="749"/>
      <c r="AC130" s="749"/>
      <c r="AD130" s="749"/>
    </row>
    <row r="131" spans="1:30" ht="9" customHeight="1">
      <c r="A131" s="748"/>
      <c r="B131" s="748"/>
      <c r="C131" s="746"/>
      <c r="D131" s="746"/>
      <c r="E131" s="746"/>
      <c r="F131" s="746"/>
      <c r="G131" s="746"/>
      <c r="H131" s="789"/>
      <c r="I131" s="789"/>
      <c r="J131" s="789"/>
      <c r="K131" s="789"/>
      <c r="L131" s="789"/>
      <c r="M131" s="746"/>
      <c r="N131" s="788"/>
      <c r="O131" s="854"/>
      <c r="P131" s="854"/>
      <c r="Q131" s="854"/>
      <c r="R131" s="854"/>
      <c r="S131" s="746"/>
      <c r="T131" s="746"/>
      <c r="U131" s="746"/>
      <c r="V131" s="746"/>
      <c r="W131" s="746"/>
      <c r="X131" s="746"/>
      <c r="Y131" s="893"/>
      <c r="Z131" s="749"/>
      <c r="AA131" s="752"/>
      <c r="AB131" s="749"/>
      <c r="AC131" s="749"/>
      <c r="AD131" s="749"/>
    </row>
    <row r="132" spans="1:30" ht="9" customHeight="1">
      <c r="A132" s="748"/>
      <c r="B132" s="748"/>
      <c r="C132" s="746"/>
      <c r="D132" s="746"/>
      <c r="E132" s="746"/>
      <c r="F132" s="746"/>
      <c r="G132" s="746"/>
      <c r="H132" s="789"/>
      <c r="I132" s="789"/>
      <c r="J132" s="789"/>
      <c r="K132" s="789"/>
      <c r="L132" s="789"/>
      <c r="M132" s="746"/>
      <c r="N132" s="788"/>
      <c r="O132" s="853"/>
      <c r="P132" s="853"/>
      <c r="Q132" s="853"/>
      <c r="R132" s="853"/>
      <c r="S132" s="746"/>
      <c r="T132" s="746"/>
      <c r="U132" s="746"/>
      <c r="V132" s="746"/>
      <c r="W132" s="746"/>
      <c r="X132" s="746"/>
      <c r="Y132" s="893"/>
      <c r="Z132" s="749"/>
      <c r="AA132" s="752"/>
      <c r="AB132" s="749"/>
      <c r="AC132" s="749"/>
      <c r="AD132" s="749"/>
    </row>
    <row r="133" spans="1:30" ht="9" customHeight="1">
      <c r="A133" s="748"/>
      <c r="B133" s="748"/>
      <c r="C133" s="746"/>
      <c r="D133" s="746"/>
      <c r="E133" s="746"/>
      <c r="F133" s="746"/>
      <c r="G133" s="746"/>
      <c r="H133" s="789"/>
      <c r="I133" s="789"/>
      <c r="J133" s="789"/>
      <c r="K133" s="789"/>
      <c r="L133" s="789"/>
      <c r="M133" s="746"/>
      <c r="N133" s="788"/>
      <c r="O133" s="854"/>
      <c r="P133" s="854"/>
      <c r="Q133" s="854"/>
      <c r="R133" s="854"/>
      <c r="S133" s="746"/>
      <c r="T133" s="746"/>
      <c r="U133" s="746"/>
      <c r="V133" s="746"/>
      <c r="W133" s="746"/>
      <c r="X133" s="746"/>
      <c r="Y133" s="893"/>
      <c r="Z133" s="749"/>
      <c r="AA133" s="752"/>
      <c r="AB133" s="749"/>
      <c r="AC133" s="749"/>
      <c r="AD133" s="749"/>
    </row>
    <row r="134" spans="1:30" ht="9" customHeight="1">
      <c r="A134" s="748"/>
      <c r="B134" s="748"/>
      <c r="C134" s="746"/>
      <c r="D134" s="746"/>
      <c r="E134" s="746"/>
      <c r="F134" s="746"/>
      <c r="G134" s="746"/>
      <c r="H134" s="789"/>
      <c r="I134" s="789"/>
      <c r="J134" s="789"/>
      <c r="K134" s="789"/>
      <c r="L134" s="789"/>
      <c r="M134" s="746"/>
      <c r="N134" s="788"/>
      <c r="O134" s="851"/>
      <c r="P134" s="851"/>
      <c r="Q134" s="851"/>
      <c r="R134" s="851"/>
      <c r="S134" s="746"/>
      <c r="T134" s="746"/>
      <c r="U134" s="746"/>
      <c r="V134" s="746"/>
      <c r="W134" s="746"/>
      <c r="X134" s="746"/>
      <c r="Y134" s="893"/>
      <c r="Z134" s="749"/>
      <c r="AA134" s="752"/>
      <c r="AB134" s="749"/>
      <c r="AC134" s="749"/>
      <c r="AD134" s="749"/>
    </row>
    <row r="135" spans="1:30" ht="9" customHeight="1">
      <c r="A135" s="748"/>
      <c r="B135" s="748"/>
      <c r="C135" s="746"/>
      <c r="D135" s="746"/>
      <c r="E135" s="746"/>
      <c r="F135" s="746"/>
      <c r="G135" s="746"/>
      <c r="H135" s="789"/>
      <c r="I135" s="789"/>
      <c r="J135" s="789"/>
      <c r="K135" s="789"/>
      <c r="L135" s="789"/>
      <c r="M135" s="746"/>
      <c r="N135" s="788"/>
      <c r="O135" s="851"/>
      <c r="P135" s="851"/>
      <c r="Q135" s="851"/>
      <c r="R135" s="851"/>
      <c r="S135" s="746"/>
      <c r="T135" s="746"/>
      <c r="U135" s="746"/>
      <c r="V135" s="746"/>
      <c r="W135" s="746"/>
      <c r="X135" s="746"/>
      <c r="Y135" s="893"/>
      <c r="Z135" s="749"/>
      <c r="AA135" s="752"/>
      <c r="AB135" s="749"/>
      <c r="AC135" s="749"/>
      <c r="AD135" s="749"/>
    </row>
    <row r="136" spans="1:30" ht="9" customHeight="1">
      <c r="A136" s="748"/>
      <c r="B136" s="748"/>
      <c r="C136" s="746"/>
      <c r="D136" s="746"/>
      <c r="E136" s="746"/>
      <c r="F136" s="746"/>
      <c r="G136" s="746"/>
      <c r="H136" s="789"/>
      <c r="I136" s="789"/>
      <c r="J136" s="789"/>
      <c r="K136" s="789"/>
      <c r="L136" s="789"/>
      <c r="M136" s="746"/>
      <c r="N136" s="788"/>
      <c r="O136" s="851"/>
      <c r="P136" s="851"/>
      <c r="Q136" s="851"/>
      <c r="R136" s="851"/>
      <c r="S136" s="746"/>
      <c r="T136" s="746"/>
      <c r="U136" s="746"/>
      <c r="V136" s="746"/>
      <c r="W136" s="746"/>
      <c r="X136" s="746"/>
      <c r="Y136" s="893"/>
      <c r="Z136" s="749"/>
      <c r="AA136" s="752"/>
      <c r="AB136" s="749"/>
      <c r="AC136" s="749"/>
      <c r="AD136" s="749"/>
    </row>
    <row r="137" spans="1:30" ht="9" customHeight="1">
      <c r="A137" s="748"/>
      <c r="B137" s="748"/>
      <c r="C137" s="746"/>
      <c r="D137" s="746"/>
      <c r="E137" s="746"/>
      <c r="F137" s="746"/>
      <c r="G137" s="746"/>
      <c r="H137" s="789"/>
      <c r="I137" s="789"/>
      <c r="J137" s="789"/>
      <c r="K137" s="789"/>
      <c r="L137" s="789"/>
      <c r="M137" s="746"/>
      <c r="N137" s="788"/>
      <c r="O137" s="855"/>
      <c r="P137" s="855"/>
      <c r="Q137" s="855"/>
      <c r="R137" s="855"/>
      <c r="S137" s="746"/>
      <c r="T137" s="746"/>
      <c r="U137" s="746"/>
      <c r="V137" s="746"/>
      <c r="W137" s="746"/>
      <c r="X137" s="746"/>
      <c r="Y137" s="893"/>
      <c r="Z137" s="749"/>
      <c r="AA137" s="752"/>
      <c r="AB137" s="749"/>
      <c r="AC137" s="749"/>
      <c r="AD137" s="749"/>
    </row>
    <row r="138" spans="1:30" ht="9" customHeight="1">
      <c r="A138" s="748"/>
      <c r="B138" s="748"/>
      <c r="C138" s="746"/>
      <c r="D138" s="746"/>
      <c r="E138" s="746"/>
      <c r="F138" s="746"/>
      <c r="G138" s="746"/>
      <c r="H138" s="789"/>
      <c r="I138" s="789"/>
      <c r="J138" s="789"/>
      <c r="K138" s="789"/>
      <c r="L138" s="789"/>
      <c r="M138" s="746"/>
      <c r="N138" s="788"/>
      <c r="O138" s="852"/>
      <c r="P138" s="852"/>
      <c r="Q138" s="852"/>
      <c r="R138" s="852"/>
      <c r="S138" s="746"/>
      <c r="T138" s="746"/>
      <c r="U138" s="746"/>
      <c r="V138" s="746"/>
      <c r="W138" s="746"/>
      <c r="X138" s="746"/>
      <c r="Y138" s="893"/>
      <c r="Z138" s="749"/>
      <c r="AA138" s="752"/>
      <c r="AB138" s="749"/>
      <c r="AC138" s="749"/>
      <c r="AD138" s="749"/>
    </row>
    <row r="139" spans="1:30" ht="9" customHeight="1">
      <c r="A139" s="748"/>
      <c r="B139" s="748"/>
      <c r="C139" s="746"/>
      <c r="D139" s="746"/>
      <c r="E139" s="746"/>
      <c r="F139" s="746"/>
      <c r="G139" s="746"/>
      <c r="H139" s="789"/>
      <c r="I139" s="789"/>
      <c r="J139" s="789"/>
      <c r="K139" s="789"/>
      <c r="L139" s="789"/>
      <c r="M139" s="746"/>
      <c r="N139" s="788"/>
      <c r="O139" s="746"/>
      <c r="P139" s="746"/>
      <c r="Q139" s="746"/>
      <c r="R139" s="746"/>
      <c r="S139" s="746"/>
      <c r="T139" s="746"/>
      <c r="U139" s="746"/>
      <c r="V139" s="746"/>
      <c r="W139" s="746"/>
      <c r="X139" s="746"/>
      <c r="Y139" s="893"/>
      <c r="Z139" s="749"/>
      <c r="AA139" s="752"/>
      <c r="AB139" s="749"/>
      <c r="AC139" s="749"/>
      <c r="AD139" s="749"/>
    </row>
    <row r="140" spans="1:30" ht="9" customHeight="1">
      <c r="A140" s="748"/>
      <c r="B140" s="748"/>
      <c r="C140" s="746"/>
      <c r="D140" s="746"/>
      <c r="E140" s="746"/>
      <c r="F140" s="746"/>
      <c r="G140" s="746"/>
      <c r="H140" s="789"/>
      <c r="I140" s="789"/>
      <c r="J140" s="789"/>
      <c r="K140" s="789"/>
      <c r="L140" s="789"/>
      <c r="M140" s="746"/>
      <c r="N140" s="788"/>
      <c r="O140" s="746"/>
      <c r="P140" s="746"/>
      <c r="Q140" s="746"/>
      <c r="R140" s="746"/>
      <c r="S140" s="746"/>
      <c r="T140" s="746"/>
      <c r="U140" s="746"/>
      <c r="V140" s="746"/>
      <c r="W140" s="746"/>
      <c r="X140" s="746"/>
      <c r="Y140" s="893"/>
      <c r="Z140" s="749"/>
      <c r="AA140" s="752"/>
      <c r="AB140" s="749"/>
      <c r="AC140" s="749"/>
      <c r="AD140" s="749"/>
    </row>
    <row r="141" spans="1:30" ht="9" customHeight="1">
      <c r="A141" s="748"/>
      <c r="B141" s="748"/>
      <c r="C141" s="746"/>
      <c r="D141" s="746"/>
      <c r="E141" s="746"/>
      <c r="F141" s="746"/>
      <c r="G141" s="746"/>
      <c r="H141" s="789"/>
      <c r="I141" s="789"/>
      <c r="J141" s="789"/>
      <c r="K141" s="789"/>
      <c r="L141" s="789"/>
      <c r="M141" s="746"/>
      <c r="N141" s="788"/>
      <c r="O141" s="746"/>
      <c r="P141" s="746"/>
      <c r="Q141" s="746"/>
      <c r="R141" s="746"/>
      <c r="S141" s="746"/>
      <c r="T141" s="746"/>
      <c r="U141" s="746"/>
      <c r="V141" s="746"/>
      <c r="W141" s="746"/>
      <c r="X141" s="746"/>
      <c r="Y141" s="893"/>
      <c r="Z141" s="749"/>
      <c r="AA141" s="752"/>
      <c r="AB141" s="749"/>
      <c r="AC141" s="749"/>
      <c r="AD141" s="749"/>
    </row>
    <row r="142" spans="1:30" ht="9" customHeight="1">
      <c r="A142" s="748"/>
      <c r="B142" s="748"/>
      <c r="C142" s="746"/>
      <c r="D142" s="746"/>
      <c r="E142" s="746"/>
      <c r="F142" s="746"/>
      <c r="G142" s="746"/>
      <c r="H142" s="789"/>
      <c r="I142" s="789"/>
      <c r="J142" s="789"/>
      <c r="K142" s="789"/>
      <c r="L142" s="789"/>
      <c r="M142" s="746"/>
      <c r="N142" s="788"/>
      <c r="O142" s="746"/>
      <c r="P142" s="746"/>
      <c r="Q142" s="746"/>
      <c r="R142" s="746"/>
      <c r="S142" s="746"/>
      <c r="T142" s="746"/>
      <c r="U142" s="746"/>
      <c r="V142" s="746"/>
      <c r="W142" s="746"/>
      <c r="X142" s="746"/>
      <c r="Y142" s="893"/>
      <c r="Z142" s="749"/>
      <c r="AA142" s="752"/>
      <c r="AB142" s="749"/>
      <c r="AC142" s="749"/>
      <c r="AD142" s="749"/>
    </row>
    <row r="143" spans="1:30" ht="9" customHeight="1">
      <c r="A143" s="748"/>
      <c r="B143" s="748"/>
      <c r="C143" s="746"/>
      <c r="D143" s="746"/>
      <c r="E143" s="746"/>
      <c r="F143" s="746"/>
      <c r="G143" s="746"/>
      <c r="H143" s="789"/>
      <c r="I143" s="789"/>
      <c r="J143" s="789"/>
      <c r="K143" s="789"/>
      <c r="L143" s="789"/>
      <c r="M143" s="746"/>
      <c r="N143" s="788"/>
      <c r="O143" s="746"/>
      <c r="P143" s="746"/>
      <c r="Q143" s="746"/>
      <c r="R143" s="746"/>
      <c r="S143" s="746"/>
      <c r="T143" s="746"/>
      <c r="U143" s="746"/>
      <c r="V143" s="746"/>
      <c r="W143" s="746"/>
      <c r="X143" s="746"/>
      <c r="Y143" s="893"/>
      <c r="Z143" s="749"/>
      <c r="AA143" s="752"/>
      <c r="AB143" s="749"/>
      <c r="AC143" s="749"/>
      <c r="AD143" s="749"/>
    </row>
    <row r="144" spans="1:30" ht="9" customHeight="1">
      <c r="A144" s="748"/>
      <c r="B144" s="748"/>
      <c r="C144" s="746"/>
      <c r="D144" s="746"/>
      <c r="E144" s="746"/>
      <c r="F144" s="746"/>
      <c r="G144" s="746"/>
      <c r="H144" s="789"/>
      <c r="I144" s="789"/>
      <c r="J144" s="789"/>
      <c r="K144" s="789"/>
      <c r="L144" s="789"/>
      <c r="M144" s="746"/>
      <c r="N144" s="788"/>
      <c r="O144" s="746"/>
      <c r="P144" s="746"/>
      <c r="Q144" s="746"/>
      <c r="R144" s="746"/>
      <c r="S144" s="746"/>
      <c r="T144" s="746"/>
      <c r="U144" s="746"/>
      <c r="V144" s="746"/>
      <c r="W144" s="746"/>
      <c r="X144" s="746"/>
      <c r="Y144" s="893"/>
      <c r="Z144" s="749"/>
      <c r="AA144" s="752"/>
      <c r="AB144" s="749"/>
      <c r="AC144" s="749"/>
      <c r="AD144" s="749"/>
    </row>
    <row r="145" spans="1:30" ht="9" customHeight="1">
      <c r="A145" s="748"/>
      <c r="B145" s="748"/>
      <c r="C145" s="746"/>
      <c r="D145" s="746"/>
      <c r="E145" s="746"/>
      <c r="F145" s="746"/>
      <c r="G145" s="746"/>
      <c r="H145" s="789"/>
      <c r="I145" s="789"/>
      <c r="J145" s="789"/>
      <c r="K145" s="789"/>
      <c r="L145" s="789"/>
      <c r="M145" s="746"/>
      <c r="N145" s="788"/>
      <c r="O145" s="746"/>
      <c r="P145" s="746"/>
      <c r="Q145" s="746"/>
      <c r="R145" s="746"/>
      <c r="S145" s="746"/>
      <c r="T145" s="746"/>
      <c r="U145" s="746"/>
      <c r="V145" s="746"/>
      <c r="W145" s="746"/>
      <c r="X145" s="746"/>
      <c r="Y145" s="893"/>
      <c r="Z145" s="749"/>
      <c r="AA145" s="752"/>
      <c r="AB145" s="749"/>
      <c r="AC145" s="749"/>
      <c r="AD145" s="749"/>
    </row>
    <row r="146" spans="1:30" ht="9" customHeight="1">
      <c r="A146" s="748"/>
      <c r="B146" s="748"/>
      <c r="C146" s="746"/>
      <c r="D146" s="746"/>
      <c r="E146" s="746"/>
      <c r="F146" s="746"/>
      <c r="G146" s="746"/>
      <c r="H146" s="789"/>
      <c r="I146" s="789"/>
      <c r="J146" s="789"/>
      <c r="K146" s="789"/>
      <c r="L146" s="789"/>
      <c r="M146" s="746"/>
      <c r="N146" s="788"/>
      <c r="O146" s="746"/>
      <c r="P146" s="746"/>
      <c r="Q146" s="746"/>
      <c r="R146" s="746"/>
      <c r="S146" s="746"/>
      <c r="T146" s="746"/>
      <c r="U146" s="746"/>
      <c r="V146" s="746"/>
      <c r="W146" s="746"/>
      <c r="X146" s="746"/>
      <c r="Y146" s="893"/>
      <c r="Z146" s="749"/>
      <c r="AA146" s="752"/>
      <c r="AB146" s="749"/>
      <c r="AC146" s="749"/>
      <c r="AD146" s="749"/>
    </row>
    <row r="147" spans="1:30" ht="9" customHeight="1">
      <c r="A147" s="748"/>
      <c r="B147" s="748"/>
      <c r="C147" s="748"/>
      <c r="D147" s="748"/>
      <c r="E147" s="748"/>
      <c r="F147" s="748"/>
      <c r="G147" s="748"/>
      <c r="H147" s="748"/>
      <c r="I147" s="748"/>
      <c r="J147" s="748"/>
      <c r="K147" s="748"/>
      <c r="L147" s="748"/>
      <c r="M147" s="748"/>
      <c r="N147" s="748"/>
      <c r="O147" s="748"/>
      <c r="P147" s="748"/>
      <c r="Q147" s="748"/>
      <c r="R147" s="748"/>
      <c r="S147" s="748"/>
      <c r="T147" s="748"/>
      <c r="U147" s="748"/>
      <c r="V147" s="748"/>
      <c r="W147" s="748"/>
      <c r="X147" s="748"/>
      <c r="Y147" s="748"/>
      <c r="Z147" s="748"/>
      <c r="AA147" s="748"/>
      <c r="AB147" s="748"/>
      <c r="AC147" s="748"/>
      <c r="AD147" s="748"/>
    </row>
    <row r="148" spans="1:30" ht="90" customHeight="1">
      <c r="A148" s="748" t="s">
        <v>718</v>
      </c>
      <c r="B148" s="748"/>
      <c r="C148" s="746" t="s">
        <v>719</v>
      </c>
      <c r="D148" s="746" t="s">
        <v>720</v>
      </c>
      <c r="E148" s="746" t="s">
        <v>721</v>
      </c>
      <c r="F148" s="746" t="s">
        <v>722</v>
      </c>
      <c r="G148" s="746"/>
      <c r="H148" s="746"/>
      <c r="I148" s="857"/>
      <c r="J148" s="857"/>
      <c r="K148" s="857"/>
      <c r="L148" s="857"/>
      <c r="M148" s="791"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51"/>
      <c r="O148" s="746"/>
      <c r="P148" s="747"/>
      <c r="Q148" s="747"/>
      <c r="R148" s="747"/>
      <c r="S148" s="746"/>
      <c r="T148" s="746" t="s">
        <v>723</v>
      </c>
      <c r="U148" s="74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47"/>
      <c r="W148" s="747"/>
      <c r="X148" s="746" t="s">
        <v>724</v>
      </c>
      <c r="Y148" s="893"/>
      <c r="Z148" s="749"/>
      <c r="AA148" s="752"/>
      <c r="AB148" s="749"/>
      <c r="AC148" s="749"/>
      <c r="AD148" s="749"/>
    </row>
    <row r="149" spans="1:30" ht="9" customHeight="1">
      <c r="A149" s="748"/>
      <c r="B149" s="748"/>
      <c r="C149" s="748"/>
      <c r="D149" s="748"/>
      <c r="E149" s="748"/>
      <c r="F149" s="748"/>
      <c r="G149" s="748"/>
      <c r="H149" s="748"/>
      <c r="I149" s="748"/>
      <c r="J149" s="748"/>
      <c r="K149" s="748"/>
      <c r="L149" s="748"/>
      <c r="M149" s="748"/>
      <c r="N149" s="748"/>
      <c r="O149" s="748"/>
      <c r="P149" s="748"/>
      <c r="Q149" s="748"/>
      <c r="R149" s="748"/>
      <c r="S149" s="748"/>
      <c r="T149" s="748"/>
      <c r="U149" s="748"/>
      <c r="V149" s="748"/>
      <c r="W149" s="748"/>
      <c r="X149" s="748"/>
      <c r="Y149" s="748"/>
      <c r="Z149" s="748"/>
      <c r="AA149" s="748"/>
      <c r="AB149" s="748"/>
      <c r="AC149" s="748"/>
      <c r="AD149" s="748"/>
    </row>
    <row r="150" spans="1:30" ht="9" customHeight="1">
      <c r="A150" s="748" t="s">
        <v>725</v>
      </c>
      <c r="B150" s="748"/>
      <c r="C150" s="746"/>
      <c r="D150" s="746"/>
      <c r="E150" s="746"/>
      <c r="F150" s="746"/>
      <c r="G150" s="746"/>
      <c r="H150" s="746"/>
      <c r="I150" s="746"/>
      <c r="J150" s="746"/>
      <c r="K150" s="746"/>
      <c r="L150" s="746"/>
      <c r="M150" s="746"/>
      <c r="N150" s="746"/>
      <c r="O150" s="746"/>
      <c r="P150" s="746"/>
      <c r="Q150" s="746"/>
      <c r="R150" s="746"/>
      <c r="S150" s="746"/>
      <c r="T150" s="746"/>
      <c r="U150" s="746"/>
      <c r="V150" s="746"/>
      <c r="W150" s="746"/>
      <c r="X150" s="746"/>
      <c r="Y150" s="893"/>
      <c r="Z150" s="749"/>
      <c r="AA150" s="752"/>
      <c r="AB150" s="749"/>
      <c r="AC150" s="749"/>
      <c r="AD150" s="749"/>
    </row>
    <row r="151" spans="1:30" ht="9" customHeight="1">
      <c r="A151" s="748"/>
      <c r="B151" s="748"/>
      <c r="C151" s="748"/>
      <c r="D151" s="748"/>
      <c r="E151" s="748"/>
      <c r="F151" s="748"/>
      <c r="G151" s="748"/>
      <c r="H151" s="748"/>
      <c r="I151" s="748"/>
      <c r="J151" s="748"/>
      <c r="K151" s="748"/>
      <c r="L151" s="748"/>
      <c r="M151" s="748"/>
      <c r="N151" s="748"/>
      <c r="O151" s="748"/>
      <c r="P151" s="748"/>
      <c r="Q151" s="748"/>
      <c r="R151" s="748"/>
      <c r="S151" s="748"/>
      <c r="T151" s="748"/>
      <c r="U151" s="748"/>
      <c r="V151" s="748"/>
      <c r="W151" s="748"/>
      <c r="X151" s="748"/>
      <c r="Y151" s="748"/>
      <c r="Z151" s="748"/>
      <c r="AA151" s="748"/>
      <c r="AB151" s="748"/>
      <c r="AC151" s="748"/>
      <c r="AD151" s="748"/>
    </row>
    <row r="152" spans="1:30" ht="9" customHeight="1">
      <c r="A152" s="748" t="s">
        <v>726</v>
      </c>
      <c r="B152" s="748"/>
      <c r="C152" s="746"/>
      <c r="D152" s="746"/>
      <c r="E152" s="746"/>
      <c r="F152" s="746"/>
      <c r="G152" s="746"/>
      <c r="H152" s="746"/>
      <c r="I152" s="746"/>
      <c r="J152" s="746"/>
      <c r="K152" s="746"/>
      <c r="L152" s="746"/>
      <c r="M152" s="746"/>
      <c r="N152" s="746"/>
      <c r="O152" s="746"/>
      <c r="P152" s="746"/>
      <c r="Q152" s="746"/>
      <c r="R152" s="746"/>
      <c r="S152" s="746"/>
      <c r="T152" s="746"/>
      <c r="U152" s="746"/>
      <c r="V152" s="746"/>
      <c r="W152" s="746"/>
      <c r="X152" s="746"/>
      <c r="Y152" s="893"/>
      <c r="Z152" s="749"/>
      <c r="AA152" s="752"/>
      <c r="AB152" s="749"/>
      <c r="AC152" s="749"/>
      <c r="AD152" s="749"/>
    </row>
    <row r="153" spans="1:30" ht="9" customHeight="1">
      <c r="A153" s="748"/>
      <c r="B153" s="748"/>
      <c r="C153" s="748"/>
      <c r="D153" s="748"/>
      <c r="E153" s="748"/>
      <c r="F153" s="748"/>
      <c r="G153" s="748"/>
      <c r="H153" s="748"/>
      <c r="I153" s="748"/>
      <c r="J153" s="748"/>
      <c r="K153" s="748"/>
      <c r="L153" s="748"/>
      <c r="M153" s="748"/>
      <c r="N153" s="748"/>
      <c r="O153" s="748"/>
      <c r="P153" s="748"/>
      <c r="Q153" s="748"/>
      <c r="R153" s="748"/>
      <c r="S153" s="748"/>
      <c r="T153" s="748"/>
      <c r="U153" s="748"/>
      <c r="V153" s="748"/>
      <c r="W153" s="748"/>
      <c r="X153" s="748"/>
      <c r="Y153" s="748"/>
      <c r="Z153" s="748"/>
      <c r="AA153" s="748"/>
      <c r="AB153" s="748"/>
      <c r="AC153" s="748"/>
      <c r="AD153" s="748"/>
    </row>
    <row r="154" spans="1:30" ht="9" customHeight="1">
      <c r="A154" s="748" t="s">
        <v>727</v>
      </c>
      <c r="B154" s="748"/>
      <c r="C154" s="746"/>
      <c r="D154" s="746"/>
      <c r="E154" s="746"/>
      <c r="F154" s="746"/>
      <c r="G154" s="746"/>
      <c r="H154" s="746"/>
      <c r="I154" s="746"/>
      <c r="J154" s="746"/>
      <c r="K154" s="746"/>
      <c r="L154" s="746"/>
      <c r="M154" s="746"/>
      <c r="N154" s="746"/>
      <c r="O154" s="746"/>
      <c r="P154" s="746"/>
      <c r="Q154" s="746"/>
      <c r="R154" s="746"/>
      <c r="S154" s="746"/>
      <c r="T154" s="746"/>
      <c r="U154" s="746"/>
      <c r="V154" s="746"/>
      <c r="W154" s="746"/>
      <c r="X154" s="746"/>
      <c r="Y154" s="893"/>
      <c r="Z154" s="749"/>
      <c r="AA154" s="752"/>
      <c r="AB154" s="749"/>
      <c r="AC154" s="749"/>
      <c r="AD154" s="749"/>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736" customWidth="1"/>
    <col min="2" max="2" width="11" style="1753" customWidth="1"/>
    <col min="3" max="3" width="9.140625" style="1753"/>
    <col min="4" max="4" width="26.5703125" style="1753" customWidth="1"/>
    <col min="5" max="5" width="27.7109375" style="1814" customWidth="1"/>
    <col min="6" max="6" width="23.5703125" style="1814" customWidth="1"/>
    <col min="7" max="7" width="31.42578125" style="1814" customWidth="1"/>
    <col min="8" max="8" width="40.85546875" style="1814" customWidth="1"/>
    <col min="9" max="9" width="14.5703125" style="1814" customWidth="1"/>
    <col min="10" max="10" width="26.85546875" style="1814" customWidth="1"/>
    <col min="11" max="11" width="50" style="1814" customWidth="1"/>
    <col min="12" max="13" width="10.7109375" style="1814" customWidth="1"/>
    <col min="14" max="14" width="55.140625" style="1814" customWidth="1"/>
    <col min="15" max="15" width="31.85546875" style="1814" customWidth="1"/>
    <col min="16" max="16" width="23.85546875" style="1814" customWidth="1"/>
    <col min="17" max="17" width="46.5703125" style="1814" customWidth="1"/>
    <col min="18" max="18" width="24" style="1814" customWidth="1"/>
    <col min="19" max="19" width="20.5703125" style="1814" customWidth="1"/>
    <col min="20" max="20" width="22" style="1814" customWidth="1"/>
    <col min="21" max="22" width="26.42578125" style="1814" customWidth="1"/>
    <col min="23" max="23" width="8.28515625" style="1814" hidden="1" customWidth="1"/>
    <col min="24" max="24" width="59.7109375" style="1814" customWidth="1"/>
    <col min="25" max="25" width="49.140625" style="1814" customWidth="1"/>
    <col min="26" max="26" width="11.140625" style="1814" customWidth="1"/>
    <col min="27" max="30" width="29" style="1814" customWidth="1"/>
    <col min="31" max="31" width="9.140625" style="1814"/>
    <col min="32" max="32" width="34.7109375" style="1814" customWidth="1"/>
    <col min="33" max="33" width="9.140625" style="1814"/>
    <col min="34" max="35" width="34.42578125" style="1814" customWidth="1"/>
    <col min="36" max="36" width="9.140625" style="1814"/>
    <col min="37" max="37" width="24.5703125" style="1814" customWidth="1"/>
    <col min="38" max="38" width="9.140625" style="1814"/>
    <col min="39" max="39" width="26.140625" style="1814" customWidth="1"/>
    <col min="40" max="40" width="1.7109375" style="1814" customWidth="1"/>
    <col min="41" max="41" width="9.140625" style="1814"/>
    <col min="42" max="43" width="47.85546875" style="1814" customWidth="1"/>
    <col min="44" max="44" width="1.7109375" style="1814" customWidth="1"/>
    <col min="45" max="45" width="21.42578125" style="1814" customWidth="1"/>
    <col min="46" max="46" width="1.7109375" style="1814" customWidth="1"/>
    <col min="47" max="47" width="31.28515625" style="1814" customWidth="1"/>
    <col min="48" max="48" width="1.7109375" style="1814" customWidth="1"/>
    <col min="49" max="50" width="9.140625" style="1814"/>
    <col min="51" max="51" width="3.7109375" style="1814" customWidth="1"/>
    <col min="52" max="52" width="55" style="1814" customWidth="1"/>
    <col min="53" max="53" width="9.140625" style="1814"/>
    <col min="54" max="54" width="35.140625" style="1814" customWidth="1"/>
    <col min="55" max="55" width="9.140625" style="1814"/>
    <col min="56" max="56" width="1.7109375" style="1814" customWidth="1"/>
    <col min="57" max="57" width="12.5703125" style="1697" customWidth="1"/>
    <col min="58" max="58" width="14.28515625" style="1697" customWidth="1"/>
    <col min="59" max="59" width="30.7109375" style="1814" customWidth="1"/>
    <col min="60" max="60" width="40.7109375" style="1929" customWidth="1"/>
    <col min="61" max="61" width="15" style="1929" customWidth="1"/>
    <col min="62" max="62" width="40.7109375" style="1929" customWidth="1"/>
    <col min="63" max="63" width="2.7109375" style="1929" customWidth="1"/>
    <col min="64" max="64" width="44.7109375" style="1929" customWidth="1"/>
    <col min="65" max="65" width="2.7109375" style="1929" customWidth="1"/>
    <col min="66" max="66" width="40.7109375" style="1929" customWidth="1"/>
    <col min="67" max="68" width="9.140625" style="1814"/>
    <col min="69" max="69" width="18.140625" style="1814" customWidth="1"/>
    <col min="70" max="70" width="57.85546875" style="1814" customWidth="1"/>
    <col min="71" max="71" width="1.7109375" style="1814" customWidth="1"/>
    <col min="72" max="72" width="22.5703125" style="1814" customWidth="1"/>
    <col min="73" max="73" width="57.85546875" style="1814" customWidth="1"/>
    <col min="74" max="74" width="1.7109375" style="1814" customWidth="1"/>
    <col min="75" max="75" width="22.5703125" style="1814" customWidth="1"/>
    <col min="76" max="76" width="57.85546875" style="1814" customWidth="1"/>
    <col min="77" max="77" width="1.7109375" style="1814" customWidth="1"/>
    <col min="78" max="78" width="22.5703125" style="1814" customWidth="1"/>
    <col min="79" max="79" width="57.85546875" style="1814" customWidth="1"/>
    <col min="80" max="81" width="9.140625" style="1814"/>
    <col min="82" max="82" width="49.5703125" style="1814" customWidth="1"/>
  </cols>
  <sheetData>
    <row r="1" spans="1:79" s="1660" customFormat="1" ht="11.25" customHeight="1">
      <c r="A1" s="952" t="s">
        <v>728</v>
      </c>
      <c r="B1" s="952" t="s">
        <v>729</v>
      </c>
      <c r="C1" s="952" t="s">
        <v>730</v>
      </c>
      <c r="D1" s="952" t="s">
        <v>731</v>
      </c>
      <c r="E1" s="952" t="s">
        <v>732</v>
      </c>
      <c r="F1" s="952" t="s">
        <v>733</v>
      </c>
      <c r="G1" s="952" t="s">
        <v>734</v>
      </c>
      <c r="H1" s="952" t="s">
        <v>735</v>
      </c>
      <c r="I1" s="952" t="s">
        <v>736</v>
      </c>
      <c r="J1" s="952" t="s">
        <v>737</v>
      </c>
      <c r="K1" s="952" t="s">
        <v>738</v>
      </c>
      <c r="L1" s="952"/>
      <c r="M1" s="952"/>
      <c r="N1" s="952" t="s">
        <v>739</v>
      </c>
      <c r="O1" s="952" t="s">
        <v>740</v>
      </c>
      <c r="P1" s="952" t="s">
        <v>741</v>
      </c>
      <c r="Q1" s="952" t="s">
        <v>742</v>
      </c>
      <c r="R1" s="952" t="s">
        <v>743</v>
      </c>
      <c r="S1" s="952" t="s">
        <v>744</v>
      </c>
      <c r="T1" s="952" t="s">
        <v>745</v>
      </c>
      <c r="U1" s="952" t="s">
        <v>746</v>
      </c>
      <c r="V1" s="952"/>
      <c r="W1" s="704" t="s">
        <v>747</v>
      </c>
      <c r="X1" s="952" t="s">
        <v>748</v>
      </c>
      <c r="Y1" s="952" t="s">
        <v>749</v>
      </c>
      <c r="Z1" s="952"/>
      <c r="AA1" s="952" t="s">
        <v>750</v>
      </c>
      <c r="AB1" s="952"/>
      <c r="AC1" s="952" t="s">
        <v>751</v>
      </c>
      <c r="AD1" s="952"/>
      <c r="AF1" s="952" t="s">
        <v>752</v>
      </c>
      <c r="AH1" s="952" t="s">
        <v>753</v>
      </c>
      <c r="AI1" s="952" t="s">
        <v>754</v>
      </c>
      <c r="AK1" s="952" t="s">
        <v>755</v>
      </c>
      <c r="AM1" s="952" t="s">
        <v>756</v>
      </c>
      <c r="AP1" s="952" t="s">
        <v>757</v>
      </c>
      <c r="AQ1" s="952" t="s">
        <v>758</v>
      </c>
      <c r="AS1" s="952" t="s">
        <v>759</v>
      </c>
      <c r="AU1" s="952" t="s">
        <v>760</v>
      </c>
      <c r="AW1" s="952" t="s">
        <v>761</v>
      </c>
      <c r="AX1" s="952" t="s">
        <v>762</v>
      </c>
      <c r="AZ1" s="1028" t="s">
        <v>763</v>
      </c>
      <c r="BB1" s="952" t="s">
        <v>764</v>
      </c>
      <c r="BC1" s="952"/>
      <c r="BE1" s="952" t="s">
        <v>765</v>
      </c>
      <c r="BF1" s="952" t="s">
        <v>766</v>
      </c>
      <c r="BH1" s="954" t="s">
        <v>392</v>
      </c>
      <c r="BI1" s="955"/>
      <c r="BJ1" s="956" t="s">
        <v>767</v>
      </c>
      <c r="BK1" s="955"/>
      <c r="BL1" s="957" t="s">
        <v>394</v>
      </c>
      <c r="BM1" s="955"/>
      <c r="BN1" s="958" t="s">
        <v>768</v>
      </c>
      <c r="BS1" s="1296"/>
    </row>
    <row r="2" spans="1:79" ht="11.25" customHeight="1">
      <c r="A2" s="959" t="s">
        <v>769</v>
      </c>
      <c r="B2" s="960">
        <v>2000</v>
      </c>
      <c r="C2" s="960">
        <v>2022</v>
      </c>
      <c r="D2" s="960" t="s">
        <v>66</v>
      </c>
      <c r="E2" s="961" t="s">
        <v>770</v>
      </c>
      <c r="F2" s="961" t="s">
        <v>771</v>
      </c>
      <c r="G2" s="961" t="s">
        <v>772</v>
      </c>
      <c r="H2" s="962" t="s">
        <v>54</v>
      </c>
      <c r="I2" s="961" t="s">
        <v>109</v>
      </c>
      <c r="J2" s="961" t="s">
        <v>773</v>
      </c>
      <c r="K2" s="963" t="s">
        <v>774</v>
      </c>
      <c r="L2" s="964" t="s">
        <v>774</v>
      </c>
      <c r="M2" s="963">
        <v>1</v>
      </c>
      <c r="N2" s="1038" t="s">
        <v>775</v>
      </c>
      <c r="O2" s="962" t="s">
        <v>776</v>
      </c>
      <c r="P2" s="965" t="s">
        <v>32</v>
      </c>
      <c r="Q2" s="966" t="s">
        <v>777</v>
      </c>
      <c r="R2" s="73" t="s">
        <v>778</v>
      </c>
      <c r="S2" s="73" t="s">
        <v>779</v>
      </c>
      <c r="T2" s="967" t="s">
        <v>780</v>
      </c>
      <c r="U2" s="964" t="s">
        <v>781</v>
      </c>
      <c r="V2" s="968">
        <v>1</v>
      </c>
      <c r="W2" s="969"/>
      <c r="X2" s="969" t="s">
        <v>782</v>
      </c>
      <c r="Y2" s="960" t="s">
        <v>783</v>
      </c>
      <c r="Z2" s="970"/>
      <c r="AA2" s="960" t="s">
        <v>784</v>
      </c>
      <c r="AB2" s="971" t="s">
        <v>784</v>
      </c>
      <c r="AC2" s="960" t="s">
        <v>785</v>
      </c>
      <c r="AD2" s="971" t="s">
        <v>785</v>
      </c>
      <c r="AF2" s="962" t="s">
        <v>781</v>
      </c>
      <c r="AH2" s="961" t="s">
        <v>786</v>
      </c>
      <c r="AI2" s="961" t="s">
        <v>786</v>
      </c>
      <c r="AK2" s="961" t="s">
        <v>787</v>
      </c>
      <c r="AM2" s="961" t="s">
        <v>788</v>
      </c>
      <c r="AP2" s="972" t="s">
        <v>782</v>
      </c>
      <c r="AQ2" s="973" t="s">
        <v>782</v>
      </c>
      <c r="AS2" s="960" t="s">
        <v>789</v>
      </c>
      <c r="AU2" s="1003" t="s">
        <v>790</v>
      </c>
      <c r="AW2" s="1003" t="s">
        <v>791</v>
      </c>
      <c r="AX2" s="1003" t="s">
        <v>791</v>
      </c>
      <c r="AZ2" s="1003" t="s">
        <v>792</v>
      </c>
      <c r="BB2" s="1003" t="s">
        <v>793</v>
      </c>
      <c r="BC2" s="1003" t="s">
        <v>794</v>
      </c>
      <c r="BE2" s="1003">
        <v>2000</v>
      </c>
      <c r="BF2" s="1003" t="s">
        <v>795</v>
      </c>
    </row>
    <row r="3" spans="1:79" ht="11.25" customHeight="1">
      <c r="A3" s="959" t="s">
        <v>796</v>
      </c>
      <c r="B3" s="960">
        <v>2001</v>
      </c>
      <c r="C3" s="960">
        <v>2023</v>
      </c>
      <c r="D3" s="960" t="s">
        <v>56</v>
      </c>
      <c r="E3" s="961" t="s">
        <v>797</v>
      </c>
      <c r="F3" s="961" t="s">
        <v>798</v>
      </c>
      <c r="G3" s="961" t="s">
        <v>799</v>
      </c>
      <c r="H3" s="962" t="s">
        <v>800</v>
      </c>
      <c r="I3" s="961" t="s">
        <v>110</v>
      </c>
      <c r="J3" s="961" t="s">
        <v>801</v>
      </c>
      <c r="K3" s="963" t="s">
        <v>802</v>
      </c>
      <c r="L3" s="963" t="s">
        <v>802</v>
      </c>
      <c r="M3" s="963">
        <v>2</v>
      </c>
      <c r="N3" s="1038" t="s">
        <v>803</v>
      </c>
      <c r="O3" s="962" t="s">
        <v>804</v>
      </c>
      <c r="P3" s="965" t="s">
        <v>805</v>
      </c>
      <c r="Q3" s="966" t="s">
        <v>806</v>
      </c>
      <c r="R3" s="73" t="s">
        <v>807</v>
      </c>
      <c r="S3" s="73" t="s">
        <v>808</v>
      </c>
      <c r="T3" s="967" t="s">
        <v>809</v>
      </c>
      <c r="U3" s="964" t="s">
        <v>810</v>
      </c>
      <c r="V3" s="968">
        <v>2</v>
      </c>
      <c r="W3" s="969"/>
      <c r="X3" s="969" t="s">
        <v>811</v>
      </c>
      <c r="Y3" s="960" t="s">
        <v>783</v>
      </c>
      <c r="Z3" s="970"/>
      <c r="AA3" s="960" t="s">
        <v>812</v>
      </c>
      <c r="AB3" s="971" t="s">
        <v>812</v>
      </c>
      <c r="AC3" s="960" t="s">
        <v>813</v>
      </c>
      <c r="AD3" s="971" t="s">
        <v>813</v>
      </c>
      <c r="AF3" s="962" t="s">
        <v>810</v>
      </c>
      <c r="AH3" s="961" t="s">
        <v>814</v>
      </c>
      <c r="AI3" s="961" t="s">
        <v>815</v>
      </c>
      <c r="AK3" s="961" t="s">
        <v>816</v>
      </c>
      <c r="AM3" s="961" t="s">
        <v>817</v>
      </c>
      <c r="AP3" s="972" t="s">
        <v>818</v>
      </c>
      <c r="AQ3" s="973" t="s">
        <v>818</v>
      </c>
      <c r="AS3" s="960" t="s">
        <v>819</v>
      </c>
      <c r="AU3" s="1003" t="s">
        <v>820</v>
      </c>
      <c r="AW3" s="1003" t="s">
        <v>821</v>
      </c>
      <c r="AX3" s="1003" t="s">
        <v>821</v>
      </c>
      <c r="AZ3" s="1003" t="s">
        <v>822</v>
      </c>
      <c r="BB3" s="1003" t="s">
        <v>823</v>
      </c>
      <c r="BC3" s="1003" t="s">
        <v>794</v>
      </c>
      <c r="BE3" s="1003">
        <v>2001</v>
      </c>
      <c r="BF3" s="1003" t="s">
        <v>824</v>
      </c>
      <c r="BH3" s="952" t="s">
        <v>825</v>
      </c>
      <c r="BJ3" s="952" t="s">
        <v>826</v>
      </c>
      <c r="BL3" s="952" t="s">
        <v>827</v>
      </c>
      <c r="BN3" s="952" t="s">
        <v>828</v>
      </c>
      <c r="BR3" s="952" t="s">
        <v>829</v>
      </c>
      <c r="BS3" s="1297"/>
      <c r="BT3" s="955"/>
      <c r="BU3" s="952" t="s">
        <v>830</v>
      </c>
      <c r="BV3" s="955"/>
      <c r="BW3" s="1549"/>
      <c r="BX3" s="1551" t="s">
        <v>831</v>
      </c>
      <c r="CA3" s="952" t="s">
        <v>832</v>
      </c>
    </row>
    <row r="4" spans="1:79" ht="11.25" customHeight="1">
      <c r="A4" s="959" t="s">
        <v>833</v>
      </c>
      <c r="B4" s="960">
        <v>2002</v>
      </c>
      <c r="C4" s="960">
        <v>2024</v>
      </c>
      <c r="E4" s="961" t="s">
        <v>834</v>
      </c>
      <c r="F4" s="961" t="s">
        <v>835</v>
      </c>
      <c r="H4" s="962" t="s">
        <v>836</v>
      </c>
      <c r="I4" s="961" t="s">
        <v>90</v>
      </c>
      <c r="J4" s="961" t="s">
        <v>837</v>
      </c>
      <c r="K4" s="963" t="s">
        <v>838</v>
      </c>
      <c r="L4" s="963" t="s">
        <v>838</v>
      </c>
      <c r="M4" s="963">
        <v>3</v>
      </c>
      <c r="N4" s="1038" t="s">
        <v>839</v>
      </c>
      <c r="O4" s="961" t="s">
        <v>840</v>
      </c>
      <c r="Q4" s="966" t="s">
        <v>841</v>
      </c>
      <c r="R4" s="73" t="s">
        <v>842</v>
      </c>
      <c r="S4" s="73" t="s">
        <v>843</v>
      </c>
      <c r="T4" s="967" t="s">
        <v>844</v>
      </c>
      <c r="U4" s="964" t="s">
        <v>845</v>
      </c>
      <c r="V4" s="968">
        <v>3</v>
      </c>
      <c r="W4" s="969"/>
      <c r="X4" s="969" t="s">
        <v>846</v>
      </c>
      <c r="Y4" s="960" t="s">
        <v>783</v>
      </c>
      <c r="Z4" s="975"/>
      <c r="AC4" s="960" t="s">
        <v>847</v>
      </c>
      <c r="AD4" s="971" t="s">
        <v>847</v>
      </c>
      <c r="AF4" s="962" t="s">
        <v>845</v>
      </c>
      <c r="AH4" s="962" t="s">
        <v>848</v>
      </c>
      <c r="AK4" s="961" t="s">
        <v>849</v>
      </c>
      <c r="AM4" s="961" t="s">
        <v>850</v>
      </c>
      <c r="AP4" s="972" t="s">
        <v>811</v>
      </c>
      <c r="AQ4" s="973" t="s">
        <v>811</v>
      </c>
      <c r="AS4" s="960" t="s">
        <v>851</v>
      </c>
      <c r="AU4" s="1003" t="s">
        <v>852</v>
      </c>
      <c r="AW4" s="1003" t="s">
        <v>853</v>
      </c>
      <c r="AX4" s="1003" t="s">
        <v>853</v>
      </c>
      <c r="AZ4" s="1003" t="s">
        <v>52</v>
      </c>
      <c r="BB4" s="1003" t="s">
        <v>854</v>
      </c>
      <c r="BC4" s="1003" t="s">
        <v>855</v>
      </c>
      <c r="BE4" s="1003">
        <v>2002</v>
      </c>
      <c r="BF4" s="1003" t="s">
        <v>856</v>
      </c>
      <c r="BH4" s="953" t="s">
        <v>857</v>
      </c>
      <c r="BJ4" s="953" t="s">
        <v>857</v>
      </c>
      <c r="BL4" s="953" t="s">
        <v>857</v>
      </c>
      <c r="BN4" s="953" t="s">
        <v>857</v>
      </c>
      <c r="BQ4" s="1301" t="s">
        <v>858</v>
      </c>
      <c r="BR4" s="1035" t="s">
        <v>859</v>
      </c>
      <c r="BS4" s="192"/>
      <c r="BT4" s="1301" t="s">
        <v>860</v>
      </c>
      <c r="BU4" s="1035" t="s">
        <v>861</v>
      </c>
      <c r="BV4" s="955"/>
      <c r="BW4" s="1556" t="s">
        <v>862</v>
      </c>
      <c r="BX4" s="1550" t="s">
        <v>863</v>
      </c>
      <c r="BZ4" s="1301" t="s">
        <v>864</v>
      </c>
      <c r="CA4" s="1035" t="s">
        <v>865</v>
      </c>
    </row>
    <row r="5" spans="1:79" ht="11.25" customHeight="1">
      <c r="A5" s="959" t="s">
        <v>866</v>
      </c>
      <c r="B5" s="960">
        <v>2003</v>
      </c>
      <c r="C5" s="960">
        <v>2025</v>
      </c>
      <c r="E5" s="961" t="s">
        <v>867</v>
      </c>
      <c r="F5" s="961" t="s">
        <v>868</v>
      </c>
      <c r="H5" s="962" t="s">
        <v>869</v>
      </c>
      <c r="I5" s="961" t="s">
        <v>91</v>
      </c>
      <c r="K5" s="963" t="s">
        <v>870</v>
      </c>
      <c r="L5" s="963" t="s">
        <v>870</v>
      </c>
      <c r="M5" s="963">
        <v>4</v>
      </c>
      <c r="N5" s="976" t="s">
        <v>871</v>
      </c>
      <c r="O5" s="961" t="s">
        <v>872</v>
      </c>
      <c r="Q5" s="966" t="s">
        <v>873</v>
      </c>
      <c r="R5" s="73" t="s">
        <v>874</v>
      </c>
      <c r="T5" s="962" t="s">
        <v>875</v>
      </c>
      <c r="U5" s="964" t="s">
        <v>876</v>
      </c>
      <c r="V5" s="968">
        <v>4</v>
      </c>
      <c r="W5" s="969"/>
      <c r="X5" s="969" t="s">
        <v>169</v>
      </c>
      <c r="Y5" s="960" t="s">
        <v>877</v>
      </c>
      <c r="Z5" s="975">
        <v>1</v>
      </c>
      <c r="AF5" s="962" t="s">
        <v>878</v>
      </c>
      <c r="AH5" s="961" t="s">
        <v>879</v>
      </c>
      <c r="AK5" s="961" t="s">
        <v>880</v>
      </c>
      <c r="AM5" s="961" t="s">
        <v>881</v>
      </c>
      <c r="AP5" s="972" t="s">
        <v>169</v>
      </c>
      <c r="AQ5" s="973" t="s">
        <v>169</v>
      </c>
      <c r="AU5" s="1003" t="s">
        <v>882</v>
      </c>
      <c r="AW5" s="1003" t="s">
        <v>883</v>
      </c>
      <c r="AX5" s="1003" t="s">
        <v>883</v>
      </c>
      <c r="AZ5" s="1003" t="s">
        <v>884</v>
      </c>
      <c r="BB5" s="1003" t="s">
        <v>885</v>
      </c>
      <c r="BC5" s="1003" t="s">
        <v>886</v>
      </c>
      <c r="BE5" s="1003">
        <v>2003</v>
      </c>
      <c r="BF5" s="1003" t="s">
        <v>887</v>
      </c>
      <c r="BH5" s="953" t="s">
        <v>888</v>
      </c>
      <c r="BJ5" s="953" t="s">
        <v>888</v>
      </c>
      <c r="BL5" s="953" t="s">
        <v>888</v>
      </c>
      <c r="BN5" s="953" t="s">
        <v>889</v>
      </c>
      <c r="BQ5" s="1164">
        <v>4213775</v>
      </c>
      <c r="BR5" s="953" t="s">
        <v>782</v>
      </c>
      <c r="BS5" s="1298"/>
      <c r="BT5" s="1164">
        <v>64236871</v>
      </c>
      <c r="BU5" s="953" t="s">
        <v>221</v>
      </c>
      <c r="BV5" s="955"/>
      <c r="BW5" s="1554">
        <v>4213767</v>
      </c>
      <c r="BX5" s="1552" t="s">
        <v>890</v>
      </c>
      <c r="BZ5" s="1164">
        <v>64237509</v>
      </c>
      <c r="CA5" s="1178" t="s">
        <v>891</v>
      </c>
    </row>
    <row r="6" spans="1:79" ht="11.25" customHeight="1">
      <c r="A6" s="959" t="s">
        <v>892</v>
      </c>
      <c r="B6" s="960">
        <v>2004</v>
      </c>
      <c r="C6" s="960">
        <v>2026</v>
      </c>
      <c r="E6" s="961" t="s">
        <v>893</v>
      </c>
      <c r="F6" s="977"/>
      <c r="H6" s="962" t="s">
        <v>894</v>
      </c>
      <c r="I6" s="961" t="s">
        <v>111</v>
      </c>
      <c r="J6" s="952" t="s">
        <v>895</v>
      </c>
      <c r="N6" s="976" t="s">
        <v>896</v>
      </c>
      <c r="O6" s="961" t="s">
        <v>897</v>
      </c>
      <c r="R6" s="73" t="s">
        <v>777</v>
      </c>
      <c r="T6" s="962" t="s">
        <v>898</v>
      </c>
      <c r="U6" s="964" t="s">
        <v>878</v>
      </c>
      <c r="V6" s="968">
        <v>5</v>
      </c>
      <c r="W6" s="969"/>
      <c r="X6" s="960" t="s">
        <v>175</v>
      </c>
      <c r="Y6" s="960" t="s">
        <v>899</v>
      </c>
      <c r="Z6" s="975"/>
      <c r="AA6" s="978"/>
      <c r="AH6" s="961" t="s">
        <v>900</v>
      </c>
      <c r="AK6" s="961" t="s">
        <v>901</v>
      </c>
      <c r="AM6" s="961" t="s">
        <v>902</v>
      </c>
      <c r="AP6" s="972" t="s">
        <v>175</v>
      </c>
      <c r="AQ6" s="973" t="s">
        <v>175</v>
      </c>
      <c r="AU6" s="1003" t="s">
        <v>903</v>
      </c>
      <c r="AW6" s="1003" t="s">
        <v>904</v>
      </c>
      <c r="AX6" s="1003" t="s">
        <v>904</v>
      </c>
      <c r="BB6" s="1003" t="s">
        <v>905</v>
      </c>
      <c r="BC6" s="1003" t="s">
        <v>886</v>
      </c>
      <c r="BE6" s="1003">
        <v>2004</v>
      </c>
      <c r="BF6" s="1003" t="s">
        <v>906</v>
      </c>
      <c r="BH6" s="953" t="s">
        <v>907</v>
      </c>
      <c r="BJ6" s="953" t="s">
        <v>908</v>
      </c>
      <c r="BL6" s="953" t="s">
        <v>908</v>
      </c>
      <c r="BN6" s="953" t="s">
        <v>909</v>
      </c>
      <c r="BQ6" s="1164">
        <v>4213784</v>
      </c>
      <c r="BR6" s="1178" t="s">
        <v>818</v>
      </c>
      <c r="BS6" s="1299"/>
      <c r="BT6" s="1164">
        <v>64236872</v>
      </c>
      <c r="BU6" s="953" t="s">
        <v>226</v>
      </c>
      <c r="BV6" s="955"/>
      <c r="BW6" s="1554">
        <v>4213768</v>
      </c>
      <c r="BX6" s="1552" t="s">
        <v>246</v>
      </c>
      <c r="BZ6" s="1164">
        <v>64237510</v>
      </c>
      <c r="CA6" s="953" t="s">
        <v>910</v>
      </c>
    </row>
    <row r="7" spans="1:79" ht="11.25" customHeight="1">
      <c r="A7" s="959" t="s">
        <v>911</v>
      </c>
      <c r="B7" s="960">
        <v>2005</v>
      </c>
      <c r="E7" s="961" t="s">
        <v>912</v>
      </c>
      <c r="F7" s="977"/>
      <c r="H7" s="962" t="s">
        <v>913</v>
      </c>
      <c r="I7" s="961" t="s">
        <v>92</v>
      </c>
      <c r="J7" s="961" t="s">
        <v>914</v>
      </c>
      <c r="N7" s="980" t="s">
        <v>915</v>
      </c>
      <c r="O7" s="961" t="s">
        <v>916</v>
      </c>
      <c r="U7" s="964" t="s">
        <v>56</v>
      </c>
      <c r="V7" s="297" t="s">
        <v>92</v>
      </c>
      <c r="W7" s="969"/>
      <c r="X7" s="960" t="s">
        <v>181</v>
      </c>
      <c r="Y7" s="960" t="s">
        <v>877</v>
      </c>
      <c r="Z7" s="975"/>
      <c r="AA7" s="978"/>
      <c r="AH7" s="961" t="s">
        <v>917</v>
      </c>
      <c r="AK7" s="961" t="s">
        <v>918</v>
      </c>
      <c r="AM7" s="961" t="s">
        <v>919</v>
      </c>
      <c r="AP7" s="972" t="s">
        <v>181</v>
      </c>
      <c r="AQ7" s="973" t="s">
        <v>181</v>
      </c>
      <c r="AU7" s="1003" t="s">
        <v>920</v>
      </c>
      <c r="AW7" s="1003" t="s">
        <v>921</v>
      </c>
      <c r="AX7" s="1003" t="s">
        <v>921</v>
      </c>
      <c r="AZ7" s="952" t="s">
        <v>922</v>
      </c>
      <c r="BB7" s="1003" t="s">
        <v>923</v>
      </c>
      <c r="BC7" s="1003" t="s">
        <v>886</v>
      </c>
      <c r="BE7" s="1003">
        <v>2005</v>
      </c>
      <c r="BF7" s="1003" t="s">
        <v>924</v>
      </c>
      <c r="BH7" s="953" t="s">
        <v>925</v>
      </c>
      <c r="BJ7" s="953" t="s">
        <v>907</v>
      </c>
      <c r="BL7" s="953" t="s">
        <v>907</v>
      </c>
      <c r="BN7" s="953" t="s">
        <v>926</v>
      </c>
      <c r="BQ7" s="1164">
        <v>4213781</v>
      </c>
      <c r="BR7" s="953" t="s">
        <v>811</v>
      </c>
      <c r="BS7" s="1298"/>
      <c r="BT7" s="1164">
        <v>64236873</v>
      </c>
      <c r="BU7" s="953" t="s">
        <v>231</v>
      </c>
      <c r="BV7" s="955"/>
      <c r="BW7" s="1554">
        <v>4213769</v>
      </c>
      <c r="BX7" s="1552" t="s">
        <v>927</v>
      </c>
      <c r="BZ7" s="1164">
        <v>64237511</v>
      </c>
      <c r="CA7" s="953" t="s">
        <v>261</v>
      </c>
    </row>
    <row r="8" spans="1:79" ht="11.25" customHeight="1">
      <c r="A8" s="959" t="s">
        <v>928</v>
      </c>
      <c r="B8" s="960">
        <v>2006</v>
      </c>
      <c r="E8" s="961" t="s">
        <v>929</v>
      </c>
      <c r="F8" s="977"/>
      <c r="I8" s="961" t="s">
        <v>93</v>
      </c>
      <c r="J8" s="961" t="s">
        <v>930</v>
      </c>
      <c r="N8" s="1039" t="s">
        <v>931</v>
      </c>
      <c r="O8" s="961" t="s">
        <v>932</v>
      </c>
      <c r="V8" s="297" t="s">
        <v>93</v>
      </c>
      <c r="W8" s="969"/>
      <c r="X8" s="960" t="s">
        <v>187</v>
      </c>
      <c r="Y8" s="960" t="s">
        <v>877</v>
      </c>
      <c r="Z8" s="975"/>
      <c r="AA8" s="978"/>
      <c r="AK8" s="961" t="s">
        <v>933</v>
      </c>
      <c r="AP8" s="972" t="s">
        <v>187</v>
      </c>
      <c r="AQ8" s="973" t="s">
        <v>187</v>
      </c>
      <c r="AU8" s="1003" t="s">
        <v>934</v>
      </c>
      <c r="AW8" s="1003" t="s">
        <v>935</v>
      </c>
      <c r="AX8" s="1003" t="s">
        <v>935</v>
      </c>
      <c r="AZ8" s="1003" t="s">
        <v>936</v>
      </c>
      <c r="BB8" s="1003" t="s">
        <v>937</v>
      </c>
      <c r="BC8" s="1003" t="s">
        <v>886</v>
      </c>
      <c r="BE8" s="1003">
        <v>2006</v>
      </c>
      <c r="BF8" s="1003" t="s">
        <v>938</v>
      </c>
      <c r="BH8" s="953" t="s">
        <v>939</v>
      </c>
      <c r="BJ8" s="953" t="s">
        <v>940</v>
      </c>
      <c r="BL8" s="953" t="s">
        <v>940</v>
      </c>
      <c r="BN8" s="953" t="s">
        <v>941</v>
      </c>
      <c r="BQ8" s="1164">
        <v>4213776</v>
      </c>
      <c r="BR8" s="953" t="s">
        <v>169</v>
      </c>
      <c r="BS8" s="1298"/>
      <c r="BT8" s="1164">
        <v>64236874</v>
      </c>
      <c r="BU8" s="1178" t="s">
        <v>942</v>
      </c>
      <c r="BV8" s="955"/>
      <c r="BW8" s="1554">
        <v>4213770</v>
      </c>
      <c r="BX8" s="1555" t="s">
        <v>943</v>
      </c>
      <c r="BZ8" s="1164">
        <v>64237512</v>
      </c>
      <c r="CA8" s="953" t="s">
        <v>256</v>
      </c>
    </row>
    <row r="9" spans="1:79" ht="11.25" customHeight="1">
      <c r="A9" s="959" t="s">
        <v>944</v>
      </c>
      <c r="B9" s="960">
        <v>2007</v>
      </c>
      <c r="E9" s="961" t="s">
        <v>945</v>
      </c>
      <c r="F9" s="977"/>
      <c r="G9" s="952" t="s">
        <v>946</v>
      </c>
      <c r="H9" s="952" t="s">
        <v>947</v>
      </c>
      <c r="I9" s="961" t="s">
        <v>112</v>
      </c>
      <c r="O9" s="961" t="s">
        <v>948</v>
      </c>
      <c r="V9" s="297" t="s">
        <v>112</v>
      </c>
      <c r="W9" s="969"/>
      <c r="X9" s="960" t="s">
        <v>196</v>
      </c>
      <c r="Y9" s="960" t="s">
        <v>783</v>
      </c>
      <c r="Z9" s="975">
        <v>1</v>
      </c>
      <c r="AA9" s="978"/>
      <c r="AK9" s="961" t="s">
        <v>949</v>
      </c>
      <c r="AP9" s="972" t="s">
        <v>950</v>
      </c>
      <c r="AQ9" s="973" t="s">
        <v>950</v>
      </c>
      <c r="AW9" s="1003" t="s">
        <v>951</v>
      </c>
      <c r="AX9" s="1003" t="s">
        <v>951</v>
      </c>
      <c r="AZ9" s="1003" t="s">
        <v>68</v>
      </c>
      <c r="BB9" s="1003" t="s">
        <v>952</v>
      </c>
      <c r="BC9" s="1003" t="s">
        <v>886</v>
      </c>
      <c r="BE9" s="1003">
        <v>2007</v>
      </c>
      <c r="BF9" s="1003" t="s">
        <v>953</v>
      </c>
      <c r="BH9" s="953" t="s">
        <v>954</v>
      </c>
      <c r="BJ9" s="953" t="s">
        <v>955</v>
      </c>
      <c r="BL9" s="953" t="s">
        <v>955</v>
      </c>
      <c r="BN9" s="953" t="s">
        <v>956</v>
      </c>
      <c r="BQ9" s="1164">
        <v>4213777</v>
      </c>
      <c r="BR9" s="953" t="s">
        <v>175</v>
      </c>
      <c r="BS9" s="1298"/>
      <c r="BT9" s="1164">
        <v>64236875</v>
      </c>
      <c r="BU9" s="953" t="s">
        <v>236</v>
      </c>
      <c r="BV9" s="955"/>
      <c r="BW9" s="1549"/>
      <c r="BX9" s="1549"/>
    </row>
    <row r="10" spans="1:79" ht="11.25" customHeight="1">
      <c r="A10" s="959" t="s">
        <v>957</v>
      </c>
      <c r="B10" s="960">
        <v>2008</v>
      </c>
      <c r="E10" s="961" t="s">
        <v>958</v>
      </c>
      <c r="F10" s="977"/>
      <c r="G10" s="961" t="s">
        <v>959</v>
      </c>
      <c r="H10" s="961" t="s">
        <v>960</v>
      </c>
      <c r="I10" s="961" t="s">
        <v>149</v>
      </c>
      <c r="J10" s="952" t="s">
        <v>961</v>
      </c>
      <c r="K10" s="952" t="s">
        <v>962</v>
      </c>
      <c r="O10" s="961" t="s">
        <v>963</v>
      </c>
      <c r="V10" s="298" t="s">
        <v>149</v>
      </c>
      <c r="W10" s="981"/>
      <c r="X10" s="981" t="s">
        <v>964</v>
      </c>
      <c r="Y10" s="982" t="s">
        <v>965</v>
      </c>
      <c r="Z10" s="975"/>
      <c r="AP10" s="972" t="s">
        <v>964</v>
      </c>
      <c r="AQ10" s="973" t="s">
        <v>964</v>
      </c>
      <c r="AW10" s="1003" t="s">
        <v>966</v>
      </c>
      <c r="AX10" s="1003" t="s">
        <v>966</v>
      </c>
      <c r="AZ10" s="1003" t="s">
        <v>967</v>
      </c>
      <c r="BB10" s="1003" t="s">
        <v>968</v>
      </c>
      <c r="BC10" s="1003" t="s">
        <v>886</v>
      </c>
      <c r="BE10" s="1003">
        <v>2008</v>
      </c>
      <c r="BF10" s="1003" t="s">
        <v>969</v>
      </c>
      <c r="BH10" s="953" t="s">
        <v>970</v>
      </c>
      <c r="BJ10" s="953" t="s">
        <v>971</v>
      </c>
      <c r="BL10" s="953" t="s">
        <v>971</v>
      </c>
      <c r="BN10" s="953" t="s">
        <v>972</v>
      </c>
      <c r="BQ10" s="1164">
        <v>4213778</v>
      </c>
      <c r="BR10" s="953" t="s">
        <v>181</v>
      </c>
      <c r="BS10" s="1298"/>
      <c r="BT10" s="1164">
        <v>64236876</v>
      </c>
      <c r="BU10" s="953" t="s">
        <v>216</v>
      </c>
      <c r="BV10" s="955"/>
      <c r="BW10" s="1549"/>
      <c r="BX10" s="1549"/>
    </row>
    <row r="11" spans="1:79" ht="11.25" customHeight="1">
      <c r="A11" s="959" t="s">
        <v>973</v>
      </c>
      <c r="B11" s="960">
        <v>2009</v>
      </c>
      <c r="E11" s="961" t="s">
        <v>974</v>
      </c>
      <c r="F11" s="977"/>
      <c r="G11" s="961" t="s">
        <v>975</v>
      </c>
      <c r="H11" s="961" t="s">
        <v>976</v>
      </c>
      <c r="I11" s="961" t="s">
        <v>150</v>
      </c>
      <c r="J11" s="962" t="s">
        <v>977</v>
      </c>
      <c r="K11" s="983" t="s">
        <v>978</v>
      </c>
      <c r="O11" s="962" t="s">
        <v>979</v>
      </c>
      <c r="V11" s="297" t="s">
        <v>150</v>
      </c>
      <c r="W11" s="193"/>
      <c r="X11" s="969" t="s">
        <v>950</v>
      </c>
      <c r="Y11" s="960" t="s">
        <v>980</v>
      </c>
      <c r="Z11" s="975"/>
      <c r="AP11" s="972" t="s">
        <v>196</v>
      </c>
      <c r="AQ11" s="974" t="s">
        <v>196</v>
      </c>
      <c r="AW11" s="1003" t="s">
        <v>981</v>
      </c>
      <c r="AX11" s="1003" t="s">
        <v>981</v>
      </c>
      <c r="AZ11" s="1003" t="s">
        <v>982</v>
      </c>
      <c r="BB11" s="1003" t="s">
        <v>983</v>
      </c>
      <c r="BC11" s="1003" t="s">
        <v>886</v>
      </c>
      <c r="BE11" s="1003">
        <v>2009</v>
      </c>
      <c r="BF11" s="1003" t="s">
        <v>984</v>
      </c>
      <c r="BH11" s="953" t="s">
        <v>985</v>
      </c>
      <c r="BJ11" s="953" t="s">
        <v>954</v>
      </c>
      <c r="BL11" s="953" t="s">
        <v>954</v>
      </c>
      <c r="BN11" s="953" t="s">
        <v>986</v>
      </c>
      <c r="BQ11" s="1164">
        <v>4213780</v>
      </c>
      <c r="BR11" s="953" t="s">
        <v>187</v>
      </c>
      <c r="BS11" s="1298"/>
      <c r="BW11" s="1549"/>
      <c r="BX11" s="1549"/>
    </row>
    <row r="12" spans="1:79" ht="11.25" customHeight="1">
      <c r="A12" s="959" t="s">
        <v>987</v>
      </c>
      <c r="B12" s="960">
        <v>2010</v>
      </c>
      <c r="E12" s="961" t="s">
        <v>988</v>
      </c>
      <c r="F12" s="977"/>
      <c r="G12" s="961" t="s">
        <v>976</v>
      </c>
      <c r="I12" s="961" t="s">
        <v>151</v>
      </c>
      <c r="J12" s="962" t="s">
        <v>989</v>
      </c>
      <c r="K12" s="983" t="s">
        <v>990</v>
      </c>
      <c r="O12" s="962" t="s">
        <v>777</v>
      </c>
      <c r="V12" s="297" t="s">
        <v>151</v>
      </c>
      <c r="W12" s="974"/>
      <c r="X12" s="969" t="s">
        <v>991</v>
      </c>
      <c r="Y12" s="960" t="s">
        <v>783</v>
      </c>
      <c r="AP12" s="972"/>
      <c r="AW12" s="1003" t="s">
        <v>150</v>
      </c>
      <c r="AX12" s="1003" t="s">
        <v>150</v>
      </c>
      <c r="AZ12" s="1003" t="s">
        <v>992</v>
      </c>
      <c r="BB12" s="1003" t="s">
        <v>993</v>
      </c>
      <c r="BC12" s="1003" t="s">
        <v>886</v>
      </c>
      <c r="BE12" s="1003">
        <v>2010</v>
      </c>
      <c r="BF12" s="1003" t="s">
        <v>994</v>
      </c>
      <c r="BH12" s="953" t="s">
        <v>995</v>
      </c>
      <c r="BJ12" s="953" t="s">
        <v>996</v>
      </c>
      <c r="BL12" s="953" t="s">
        <v>996</v>
      </c>
      <c r="BN12" s="953" t="s">
        <v>997</v>
      </c>
      <c r="BQ12" s="1164">
        <v>4213779</v>
      </c>
      <c r="BR12" s="953" t="s">
        <v>950</v>
      </c>
      <c r="BS12" s="1298"/>
      <c r="BT12" s="955"/>
      <c r="BU12" s="955"/>
      <c r="BV12" s="955"/>
      <c r="BW12" s="1549"/>
      <c r="BX12" s="1549"/>
    </row>
    <row r="13" spans="1:79" ht="11.25" customHeight="1">
      <c r="A13" s="959" t="s">
        <v>998</v>
      </c>
      <c r="B13" s="960">
        <v>2011</v>
      </c>
      <c r="E13" s="961" t="s">
        <v>999</v>
      </c>
      <c r="F13" s="977"/>
      <c r="I13" s="961" t="s">
        <v>152</v>
      </c>
      <c r="K13" s="983" t="s">
        <v>949</v>
      </c>
      <c r="V13" s="297" t="s">
        <v>152</v>
      </c>
      <c r="W13" s="974"/>
      <c r="X13" s="974"/>
      <c r="Y13" s="974"/>
      <c r="AW13" s="1003" t="s">
        <v>151</v>
      </c>
      <c r="AX13" s="1003" t="s">
        <v>151</v>
      </c>
      <c r="BB13" s="1003" t="s">
        <v>1000</v>
      </c>
      <c r="BC13" s="1003" t="s">
        <v>1001</v>
      </c>
      <c r="BE13" s="1003">
        <v>2011</v>
      </c>
      <c r="BF13" s="1003" t="s">
        <v>1002</v>
      </c>
      <c r="BH13" s="953" t="s">
        <v>1003</v>
      </c>
      <c r="BJ13" s="953" t="s">
        <v>985</v>
      </c>
      <c r="BL13" s="953" t="s">
        <v>985</v>
      </c>
      <c r="BN13" s="953" t="s">
        <v>1004</v>
      </c>
      <c r="BQ13" s="1164">
        <v>4213783</v>
      </c>
      <c r="BR13" s="953" t="s">
        <v>964</v>
      </c>
      <c r="BS13" s="1298"/>
      <c r="BT13" s="955"/>
      <c r="BU13" s="955"/>
      <c r="BV13" s="955"/>
      <c r="BW13" s="1553"/>
      <c r="BX13" s="1549"/>
    </row>
    <row r="14" spans="1:79" ht="11.25" customHeight="1">
      <c r="A14" s="959" t="s">
        <v>1005</v>
      </c>
      <c r="B14" s="960">
        <v>2012</v>
      </c>
      <c r="I14" s="961" t="s">
        <v>153</v>
      </c>
      <c r="J14" s="952" t="s">
        <v>1006</v>
      </c>
      <c r="N14" s="952" t="s">
        <v>1007</v>
      </c>
      <c r="V14" s="968">
        <v>13</v>
      </c>
      <c r="W14" s="969"/>
      <c r="X14" s="969" t="s">
        <v>818</v>
      </c>
      <c r="Y14" s="960" t="s">
        <v>783</v>
      </c>
      <c r="AW14" s="1003" t="s">
        <v>152</v>
      </c>
      <c r="AX14" s="1003" t="s">
        <v>152</v>
      </c>
      <c r="AZ14" s="952" t="s">
        <v>1008</v>
      </c>
      <c r="BB14" s="1003" t="s">
        <v>1009</v>
      </c>
      <c r="BC14" s="1003" t="s">
        <v>1001</v>
      </c>
      <c r="BE14" s="1003">
        <v>2012</v>
      </c>
      <c r="BH14" s="953" t="s">
        <v>926</v>
      </c>
      <c r="BJ14" s="1085" t="s">
        <v>1010</v>
      </c>
      <c r="BL14" s="1085" t="s">
        <v>1010</v>
      </c>
      <c r="BN14" s="953" t="s">
        <v>1011</v>
      </c>
      <c r="BQ14" s="1164">
        <v>4213782</v>
      </c>
      <c r="BR14" s="953" t="s">
        <v>196</v>
      </c>
      <c r="BS14" s="1298"/>
      <c r="BT14" s="955"/>
      <c r="BU14" s="955"/>
      <c r="BV14" s="955"/>
      <c r="BW14" s="1553"/>
      <c r="BX14" s="1549"/>
    </row>
    <row r="15" spans="1:79" ht="19.5" customHeight="1">
      <c r="A15" s="959" t="s">
        <v>1012</v>
      </c>
      <c r="B15" s="960">
        <v>2013</v>
      </c>
      <c r="E15" s="1557" t="s">
        <v>1013</v>
      </c>
      <c r="G15" s="952" t="s">
        <v>1014</v>
      </c>
      <c r="H15" s="952" t="s">
        <v>1015</v>
      </c>
      <c r="I15" s="963" t="s">
        <v>154</v>
      </c>
      <c r="J15" s="974" t="s">
        <v>1016</v>
      </c>
      <c r="N15" s="1034" t="s">
        <v>1017</v>
      </c>
      <c r="X15" s="972"/>
      <c r="AW15" s="1003" t="s">
        <v>153</v>
      </c>
      <c r="AX15" s="1003" t="s">
        <v>153</v>
      </c>
      <c r="AZ15" s="1003" t="s">
        <v>936</v>
      </c>
      <c r="BB15" s="1003" t="s">
        <v>1018</v>
      </c>
      <c r="BC15" s="1003" t="s">
        <v>1001</v>
      </c>
      <c r="BE15" s="1003">
        <v>2013</v>
      </c>
      <c r="BH15" s="953" t="s">
        <v>941</v>
      </c>
      <c r="BJ15" s="1085" t="s">
        <v>1019</v>
      </c>
      <c r="BL15" s="1085" t="s">
        <v>1019</v>
      </c>
      <c r="BN15" s="953" t="s">
        <v>1020</v>
      </c>
      <c r="BR15" s="955"/>
      <c r="BS15" s="1300"/>
      <c r="BT15" s="955"/>
      <c r="BU15" s="955"/>
      <c r="BV15" s="955"/>
      <c r="BW15" s="1553"/>
      <c r="BX15" s="1549"/>
    </row>
    <row r="16" spans="1:79" ht="21" customHeight="1">
      <c r="A16" s="959" t="s">
        <v>1021</v>
      </c>
      <c r="B16" s="960">
        <v>2014</v>
      </c>
      <c r="E16" s="1558" t="s">
        <v>1022</v>
      </c>
      <c r="G16" s="961" t="s">
        <v>1023</v>
      </c>
      <c r="H16" s="961" t="s">
        <v>1024</v>
      </c>
      <c r="I16" s="963" t="s">
        <v>696</v>
      </c>
      <c r="J16" s="974" t="s">
        <v>801</v>
      </c>
      <c r="N16" s="1034" t="s">
        <v>1025</v>
      </c>
      <c r="AW16" s="1003" t="s">
        <v>154</v>
      </c>
      <c r="AX16" s="1003" t="s">
        <v>154</v>
      </c>
      <c r="AZ16" s="1003" t="s">
        <v>68</v>
      </c>
      <c r="BB16" s="1003" t="s">
        <v>1026</v>
      </c>
      <c r="BC16" s="1003" t="s">
        <v>1001</v>
      </c>
      <c r="BE16" s="1003">
        <v>2014</v>
      </c>
      <c r="BH16" s="953" t="s">
        <v>956</v>
      </c>
      <c r="BJ16" s="1085" t="s">
        <v>1027</v>
      </c>
      <c r="BL16" s="1085" t="s">
        <v>1027</v>
      </c>
      <c r="BN16" s="953" t="s">
        <v>1028</v>
      </c>
      <c r="BR16" s="955"/>
      <c r="BS16" s="1300"/>
      <c r="BT16" s="955"/>
      <c r="BU16" s="955"/>
      <c r="BV16" s="955"/>
      <c r="BW16" s="1553"/>
      <c r="BX16" s="1549"/>
    </row>
    <row r="17" spans="1:82" ht="21" customHeight="1">
      <c r="A17" s="959" t="s">
        <v>1029</v>
      </c>
      <c r="B17" s="960">
        <v>2015</v>
      </c>
      <c r="G17" s="961" t="s">
        <v>976</v>
      </c>
      <c r="H17" s="961" t="s">
        <v>976</v>
      </c>
      <c r="I17" s="961" t="s">
        <v>398</v>
      </c>
      <c r="N17" s="1034" t="s">
        <v>1030</v>
      </c>
      <c r="X17" s="972"/>
      <c r="AW17" s="1003" t="s">
        <v>696</v>
      </c>
      <c r="AX17" s="1003" t="s">
        <v>696</v>
      </c>
      <c r="AZ17" s="1003" t="s">
        <v>1031</v>
      </c>
      <c r="BB17" s="1003" t="s">
        <v>1032</v>
      </c>
      <c r="BC17" s="1003" t="s">
        <v>886</v>
      </c>
      <c r="BE17" s="1003">
        <v>2015</v>
      </c>
      <c r="BH17" s="953" t="s">
        <v>972</v>
      </c>
      <c r="BJ17" s="1085" t="s">
        <v>1033</v>
      </c>
      <c r="BL17" s="1085" t="s">
        <v>1033</v>
      </c>
      <c r="BN17" s="953" t="s">
        <v>1034</v>
      </c>
      <c r="BR17" s="952" t="s">
        <v>829</v>
      </c>
      <c r="BS17" s="1297"/>
      <c r="BU17" s="952" t="s">
        <v>1035</v>
      </c>
      <c r="BV17" s="955"/>
      <c r="BW17" s="1549"/>
      <c r="BX17" s="1551" t="s">
        <v>1036</v>
      </c>
      <c r="CA17" s="952" t="s">
        <v>1037</v>
      </c>
      <c r="CD17" s="952" t="s">
        <v>1038</v>
      </c>
    </row>
    <row r="18" spans="1:82" ht="21" customHeight="1">
      <c r="A18" s="959" t="s">
        <v>1039</v>
      </c>
      <c r="B18" s="960">
        <v>2016</v>
      </c>
      <c r="I18" s="961" t="s">
        <v>705</v>
      </c>
      <c r="N18" s="1034" t="s">
        <v>1040</v>
      </c>
      <c r="X18" s="972"/>
      <c r="AW18" s="1003" t="s">
        <v>398</v>
      </c>
      <c r="AX18" s="1003" t="s">
        <v>398</v>
      </c>
      <c r="BB18" s="1003" t="s">
        <v>1041</v>
      </c>
      <c r="BC18" s="1003" t="s">
        <v>886</v>
      </c>
      <c r="BE18" s="1003">
        <v>2016</v>
      </c>
      <c r="BH18" s="953" t="s">
        <v>986</v>
      </c>
      <c r="BJ18" s="1085" t="s">
        <v>1042</v>
      </c>
      <c r="BL18" s="1085" t="s">
        <v>1042</v>
      </c>
      <c r="BN18" s="953" t="s">
        <v>1043</v>
      </c>
      <c r="BQ18" s="1301" t="s">
        <v>858</v>
      </c>
      <c r="BR18" s="1035" t="s">
        <v>859</v>
      </c>
      <c r="BS18" s="192"/>
      <c r="BT18" s="1301" t="s">
        <v>1044</v>
      </c>
      <c r="BU18" s="1035" t="s">
        <v>1045</v>
      </c>
      <c r="BV18" s="955"/>
      <c r="BW18" s="1556" t="s">
        <v>1046</v>
      </c>
      <c r="BX18" s="1550" t="s">
        <v>1047</v>
      </c>
      <c r="BZ18" s="1301" t="s">
        <v>1048</v>
      </c>
      <c r="CA18" s="1035" t="s">
        <v>1049</v>
      </c>
      <c r="CC18" s="1301" t="s">
        <v>1050</v>
      </c>
      <c r="CD18" s="1035" t="s">
        <v>1051</v>
      </c>
    </row>
    <row r="19" spans="1:82" ht="21" customHeight="1">
      <c r="A19" s="959" t="s">
        <v>1052</v>
      </c>
      <c r="B19" s="960">
        <v>2017</v>
      </c>
      <c r="I19" s="961" t="s">
        <v>709</v>
      </c>
      <c r="N19" s="1034" t="s">
        <v>1053</v>
      </c>
      <c r="X19" s="972"/>
      <c r="AW19" s="1003" t="s">
        <v>705</v>
      </c>
      <c r="AX19" s="1003" t="s">
        <v>705</v>
      </c>
      <c r="AZ19" s="952" t="s">
        <v>1054</v>
      </c>
      <c r="BB19" s="1003" t="s">
        <v>1055</v>
      </c>
      <c r="BC19" s="1003" t="s">
        <v>886</v>
      </c>
      <c r="BE19" s="1003">
        <v>2017</v>
      </c>
      <c r="BH19" s="953" t="s">
        <v>1056</v>
      </c>
      <c r="BJ19" s="1085" t="s">
        <v>1057</v>
      </c>
      <c r="BL19" s="1085" t="s">
        <v>1057</v>
      </c>
      <c r="BQ19" s="1164">
        <v>4190064</v>
      </c>
      <c r="BR19" s="953" t="s">
        <v>1058</v>
      </c>
      <c r="BS19" s="1298"/>
      <c r="BT19" s="1164">
        <v>64235586</v>
      </c>
      <c r="BU19" s="953" t="s">
        <v>1059</v>
      </c>
      <c r="BV19" s="955"/>
      <c r="BW19" s="1554">
        <v>4189706</v>
      </c>
      <c r="BX19" s="1552" t="s">
        <v>1060</v>
      </c>
      <c r="BZ19" s="1164">
        <v>64235589</v>
      </c>
      <c r="CA19" s="953" t="s">
        <v>1061</v>
      </c>
      <c r="CC19" s="1164">
        <v>4189708</v>
      </c>
      <c r="CD19" s="953" t="s">
        <v>1062</v>
      </c>
    </row>
    <row r="20" spans="1:82" ht="21" customHeight="1">
      <c r="A20" s="959" t="s">
        <v>1063</v>
      </c>
      <c r="B20" s="960">
        <v>2018</v>
      </c>
      <c r="I20" s="961" t="s">
        <v>460</v>
      </c>
      <c r="N20" s="1034" t="s">
        <v>1064</v>
      </c>
      <c r="AW20" s="1003" t="s">
        <v>709</v>
      </c>
      <c r="AX20" s="1003" t="s">
        <v>709</v>
      </c>
      <c r="AZ20" s="1003" t="s">
        <v>1065</v>
      </c>
      <c r="BB20" s="1003" t="s">
        <v>1066</v>
      </c>
      <c r="BC20" s="1003" t="s">
        <v>1001</v>
      </c>
      <c r="BE20" s="1003">
        <v>2018</v>
      </c>
      <c r="BH20" s="953" t="s">
        <v>997</v>
      </c>
      <c r="BJ20" s="953" t="s">
        <v>926</v>
      </c>
      <c r="BL20" s="953" t="s">
        <v>926</v>
      </c>
      <c r="BQ20" s="1164">
        <v>4190065</v>
      </c>
      <c r="BR20" s="953" t="s">
        <v>1067</v>
      </c>
      <c r="BS20" s="1298"/>
      <c r="BT20" s="1164">
        <v>64235587</v>
      </c>
      <c r="BU20" s="953" t="s">
        <v>1068</v>
      </c>
      <c r="BV20" s="955"/>
      <c r="BW20" s="1554">
        <v>4189705</v>
      </c>
      <c r="BX20" s="1552" t="s">
        <v>1069</v>
      </c>
      <c r="BZ20" s="1164">
        <v>64235590</v>
      </c>
      <c r="CA20" s="953" t="s">
        <v>1070</v>
      </c>
      <c r="CC20" s="1164">
        <v>4189709</v>
      </c>
      <c r="CD20" s="953" t="s">
        <v>1071</v>
      </c>
    </row>
    <row r="21" spans="1:82" ht="21" customHeight="1">
      <c r="A21" s="959" t="s">
        <v>1072</v>
      </c>
      <c r="B21" s="960">
        <v>2019</v>
      </c>
      <c r="I21" s="961" t="s">
        <v>1073</v>
      </c>
      <c r="N21" s="1034" t="s">
        <v>1074</v>
      </c>
      <c r="AW21" s="1003" t="s">
        <v>460</v>
      </c>
      <c r="AX21" s="1003" t="s">
        <v>460</v>
      </c>
      <c r="AZ21" s="1003" t="s">
        <v>1075</v>
      </c>
      <c r="BB21" s="1003" t="s">
        <v>1076</v>
      </c>
      <c r="BC21" s="1003" t="s">
        <v>886</v>
      </c>
      <c r="BE21" s="1003">
        <v>2019</v>
      </c>
      <c r="BH21" s="953" t="s">
        <v>1004</v>
      </c>
      <c r="BJ21" s="953" t="s">
        <v>941</v>
      </c>
      <c r="BL21" s="953" t="s">
        <v>941</v>
      </c>
      <c r="BQ21" s="1164">
        <v>4190066</v>
      </c>
      <c r="BR21" s="953" t="s">
        <v>1077</v>
      </c>
      <c r="BS21" s="1298"/>
      <c r="BT21" s="1164">
        <v>64235585</v>
      </c>
      <c r="BU21" s="953" t="s">
        <v>1078</v>
      </c>
      <c r="BV21" s="955"/>
      <c r="BW21" s="1554">
        <v>4189707</v>
      </c>
      <c r="BX21" s="1552" t="s">
        <v>1079</v>
      </c>
      <c r="BZ21" s="1164">
        <v>64235591</v>
      </c>
      <c r="CA21" s="953" t="s">
        <v>1080</v>
      </c>
      <c r="CC21" s="1164">
        <v>4189710</v>
      </c>
      <c r="CD21" s="953" t="s">
        <v>1081</v>
      </c>
    </row>
    <row r="22" spans="1:82" ht="21" customHeight="1">
      <c r="A22" s="959" t="s">
        <v>1082</v>
      </c>
      <c r="B22" s="960">
        <v>2020</v>
      </c>
      <c r="N22" s="1034" t="s">
        <v>1083</v>
      </c>
      <c r="AW22" s="1003" t="s">
        <v>1073</v>
      </c>
      <c r="AX22" s="1003" t="s">
        <v>1073</v>
      </c>
      <c r="AZ22" s="1003" t="s">
        <v>1084</v>
      </c>
      <c r="BB22" s="1003" t="s">
        <v>1085</v>
      </c>
      <c r="BC22" s="1003" t="s">
        <v>886</v>
      </c>
      <c r="BE22" s="1003">
        <v>2020</v>
      </c>
      <c r="BH22" s="953" t="s">
        <v>1011</v>
      </c>
      <c r="BJ22" s="953" t="s">
        <v>956</v>
      </c>
      <c r="BL22" s="953" t="s">
        <v>956</v>
      </c>
      <c r="BQ22" s="1164">
        <v>4190067</v>
      </c>
      <c r="BR22" s="953" t="s">
        <v>1086</v>
      </c>
      <c r="BS22" s="1298"/>
      <c r="BT22" s="955"/>
      <c r="BU22" s="955"/>
      <c r="BV22" s="955"/>
      <c r="BW22" s="955"/>
      <c r="CC22" s="1164">
        <v>4189711</v>
      </c>
      <c r="CD22" s="953" t="s">
        <v>285</v>
      </c>
    </row>
    <row r="23" spans="1:82" ht="21" customHeight="1">
      <c r="A23" s="959" t="s">
        <v>1087</v>
      </c>
      <c r="B23" s="960">
        <v>2021</v>
      </c>
      <c r="AW23" s="1003" t="s">
        <v>1088</v>
      </c>
      <c r="AX23" s="1003" t="s">
        <v>1088</v>
      </c>
      <c r="AZ23" s="1003" t="s">
        <v>1089</v>
      </c>
      <c r="BB23" s="1003" t="s">
        <v>1090</v>
      </c>
      <c r="BC23" s="1003" t="s">
        <v>794</v>
      </c>
      <c r="BE23" s="1003">
        <v>2021</v>
      </c>
      <c r="BH23" s="953" t="s">
        <v>1020</v>
      </c>
      <c r="BJ23" s="953" t="s">
        <v>972</v>
      </c>
      <c r="BL23" s="953" t="s">
        <v>972</v>
      </c>
      <c r="BQ23" s="1164">
        <v>4190068</v>
      </c>
      <c r="BR23" s="953" t="s">
        <v>1091</v>
      </c>
      <c r="BS23" s="1298"/>
      <c r="BT23" s="955"/>
      <c r="BU23" s="955"/>
      <c r="BV23" s="955"/>
      <c r="BW23" s="955"/>
      <c r="CC23" s="1164">
        <v>5110778</v>
      </c>
      <c r="CD23" s="953" t="s">
        <v>1092</v>
      </c>
    </row>
    <row r="24" spans="1:82" ht="21" customHeight="1">
      <c r="A24" s="959" t="s">
        <v>1093</v>
      </c>
      <c r="B24" s="960">
        <v>2022</v>
      </c>
      <c r="AW24" s="1003" t="s">
        <v>1094</v>
      </c>
      <c r="AX24" s="1003" t="s">
        <v>1094</v>
      </c>
      <c r="AZ24" s="1003" t="s">
        <v>1095</v>
      </c>
      <c r="BB24" s="1003" t="s">
        <v>1096</v>
      </c>
      <c r="BC24" s="1003" t="s">
        <v>1097</v>
      </c>
      <c r="BE24" s="1003">
        <v>2022</v>
      </c>
      <c r="BH24" s="953" t="s">
        <v>1028</v>
      </c>
      <c r="BJ24" s="953" t="s">
        <v>986</v>
      </c>
      <c r="BL24" s="953" t="s">
        <v>986</v>
      </c>
      <c r="BQ24" s="1164">
        <v>4190069</v>
      </c>
      <c r="BR24" s="953" t="s">
        <v>1098</v>
      </c>
      <c r="BS24" s="1298"/>
      <c r="BT24" s="955"/>
      <c r="BU24" s="955"/>
      <c r="BV24" s="955"/>
      <c r="BW24" s="955"/>
    </row>
    <row r="25" spans="1:82" ht="11.25" customHeight="1">
      <c r="A25" s="959" t="s">
        <v>1099</v>
      </c>
      <c r="B25" s="960">
        <v>2023</v>
      </c>
      <c r="AW25" s="1003" t="s">
        <v>1100</v>
      </c>
      <c r="AX25" s="1003" t="s">
        <v>1100</v>
      </c>
      <c r="AZ25" s="1003" t="s">
        <v>1101</v>
      </c>
      <c r="BB25" s="1003" t="s">
        <v>1102</v>
      </c>
      <c r="BC25" s="1003" t="s">
        <v>1097</v>
      </c>
      <c r="BE25" s="1003">
        <v>2023</v>
      </c>
      <c r="BH25" s="953" t="s">
        <v>1034</v>
      </c>
      <c r="BJ25" s="953" t="s">
        <v>1056</v>
      </c>
      <c r="BL25" s="953" t="s">
        <v>1056</v>
      </c>
      <c r="BQ25" s="1164">
        <v>4190070</v>
      </c>
      <c r="BR25" s="953" t="s">
        <v>1103</v>
      </c>
      <c r="BS25" s="1298"/>
      <c r="BT25" s="955"/>
      <c r="BU25" s="955"/>
      <c r="BV25" s="955"/>
      <c r="BW25" s="955"/>
    </row>
    <row r="26" spans="1:82" ht="11.25" customHeight="1">
      <c r="A26" s="959" t="s">
        <v>1104</v>
      </c>
      <c r="B26" s="960">
        <v>2024</v>
      </c>
      <c r="J26" s="1590" t="s">
        <v>1105</v>
      </c>
      <c r="AX26" s="1003" t="s">
        <v>473</v>
      </c>
      <c r="AZ26" s="1003" t="s">
        <v>979</v>
      </c>
      <c r="BB26" s="1003" t="s">
        <v>1106</v>
      </c>
      <c r="BC26" s="1003" t="s">
        <v>1097</v>
      </c>
      <c r="BE26" s="1003">
        <v>2024</v>
      </c>
      <c r="BH26" s="953" t="s">
        <v>1043</v>
      </c>
      <c r="BJ26" s="953" t="s">
        <v>997</v>
      </c>
      <c r="BL26" s="953" t="s">
        <v>997</v>
      </c>
      <c r="BQ26" s="1164">
        <v>4190071</v>
      </c>
      <c r="BR26" s="953" t="s">
        <v>1107</v>
      </c>
      <c r="BS26" s="1298"/>
      <c r="BT26" s="955"/>
      <c r="BU26" s="955"/>
      <c r="BV26" s="955"/>
      <c r="BW26" s="955"/>
    </row>
    <row r="27" spans="1:82" ht="11.25" customHeight="1">
      <c r="A27" s="959" t="s">
        <v>1108</v>
      </c>
      <c r="B27" s="960">
        <v>2025</v>
      </c>
      <c r="J27" s="104" t="s">
        <v>1109</v>
      </c>
      <c r="AX27" s="1003" t="s">
        <v>472</v>
      </c>
      <c r="BB27" s="1003" t="s">
        <v>1110</v>
      </c>
      <c r="BC27" s="1003" t="s">
        <v>1097</v>
      </c>
      <c r="BE27" s="1003">
        <v>2025</v>
      </c>
      <c r="BH27" s="955" t="s">
        <v>17</v>
      </c>
      <c r="BJ27" s="953" t="s">
        <v>1004</v>
      </c>
      <c r="BL27" s="953" t="s">
        <v>1004</v>
      </c>
      <c r="BN27" s="955" t="s">
        <v>17</v>
      </c>
      <c r="BQ27" s="1164">
        <v>4190072</v>
      </c>
      <c r="BR27" s="953" t="s">
        <v>1111</v>
      </c>
      <c r="BS27" s="1298"/>
      <c r="BT27" s="955"/>
      <c r="BU27" s="955"/>
      <c r="BV27" s="955"/>
      <c r="BW27" s="955"/>
    </row>
    <row r="28" spans="1:82" ht="11.25" customHeight="1">
      <c r="A28" s="959" t="s">
        <v>1112</v>
      </c>
      <c r="D28" s="984"/>
      <c r="E28" s="985"/>
      <c r="F28" s="985"/>
      <c r="H28" s="986" t="s">
        <v>1113</v>
      </c>
      <c r="AX28" s="1003" t="s">
        <v>720</v>
      </c>
      <c r="AZ28" s="952" t="s">
        <v>1114</v>
      </c>
      <c r="BB28" s="1003" t="s">
        <v>1115</v>
      </c>
      <c r="BC28" s="1003" t="s">
        <v>1116</v>
      </c>
      <c r="BE28" s="1003">
        <v>2026</v>
      </c>
      <c r="BH28" s="955" t="s">
        <v>17</v>
      </c>
      <c r="BJ28" s="953" t="s">
        <v>1011</v>
      </c>
      <c r="BL28" s="953" t="s">
        <v>1011</v>
      </c>
      <c r="BN28" s="955" t="s">
        <v>17</v>
      </c>
      <c r="BQ28" s="1164">
        <v>4190073</v>
      </c>
      <c r="BR28" s="953" t="s">
        <v>1117</v>
      </c>
      <c r="BS28" s="1298"/>
      <c r="BT28" s="955"/>
      <c r="BU28" s="955"/>
      <c r="BV28" s="955"/>
      <c r="BW28" s="955"/>
    </row>
    <row r="29" spans="1:82" ht="11.25" customHeight="1">
      <c r="A29" s="959" t="s">
        <v>1118</v>
      </c>
      <c r="D29" s="987" t="s">
        <v>1119</v>
      </c>
      <c r="E29" s="988" t="str">
        <f>IF(TEMPLATE_GROUP="","",INDEX(StartDateList,MATCH(TEMPLATE_GROUP,CodeTemplateList,0),1))</f>
        <v>01.01.2023</v>
      </c>
      <c r="F29" s="988" t="str">
        <f>IF(TEMPLATE_GROUP="","",INDEX(EndDateList,MATCH(TEMPLATE_GROUP,CodeTemplateList,0),1))</f>
        <v>31.12.2023</v>
      </c>
      <c r="H29" s="989" t="s">
        <v>1120</v>
      </c>
      <c r="AX29" s="1003" t="s">
        <v>455</v>
      </c>
      <c r="AZ29" s="1003" t="s">
        <v>778</v>
      </c>
      <c r="BB29" s="1003" t="s">
        <v>979</v>
      </c>
      <c r="BC29" s="975"/>
      <c r="BE29" s="1003">
        <v>2027</v>
      </c>
      <c r="BJ29" s="953" t="s">
        <v>1020</v>
      </c>
      <c r="BL29" s="953" t="s">
        <v>1020</v>
      </c>
    </row>
    <row r="30" spans="1:82" ht="11.25" customHeight="1">
      <c r="A30" s="959" t="s">
        <v>1121</v>
      </c>
      <c r="D30" s="990"/>
      <c r="E30" s="991"/>
      <c r="F30" s="991"/>
      <c r="AX30" s="1003" t="s">
        <v>1122</v>
      </c>
      <c r="AZ30" s="1003" t="s">
        <v>807</v>
      </c>
      <c r="BE30" s="1003">
        <v>2028</v>
      </c>
      <c r="BJ30" s="953" t="s">
        <v>1123</v>
      </c>
      <c r="BL30" s="953" t="s">
        <v>1123</v>
      </c>
    </row>
    <row r="31" spans="1:82" ht="12.75" customHeight="1">
      <c r="A31" s="959" t="s">
        <v>1124</v>
      </c>
      <c r="D31" s="984"/>
      <c r="E31" s="985"/>
      <c r="F31" s="985"/>
      <c r="H31" s="992"/>
      <c r="AX31" s="1003" t="s">
        <v>1125</v>
      </c>
      <c r="AZ31" s="1003" t="s">
        <v>1126</v>
      </c>
      <c r="BE31" s="1003">
        <v>2029</v>
      </c>
      <c r="BJ31" s="953" t="s">
        <v>1127</v>
      </c>
      <c r="BL31" s="953" t="s">
        <v>1127</v>
      </c>
    </row>
    <row r="32" spans="1:82" ht="11.25" customHeight="1">
      <c r="A32" s="959" t="s">
        <v>1128</v>
      </c>
      <c r="D32" s="987" t="s">
        <v>1129</v>
      </c>
      <c r="E32" s="988" t="str">
        <f>IF(TEMPLATE_GROUP="","",INDEX(StartDateList,MATCH(TEMPLATE_GROUP,CodeTemplateList,0),1))</f>
        <v>01.01.2023</v>
      </c>
      <c r="F32" s="988" t="str">
        <f>IF(TEMPLATE_GROUP="","",INDEX(EndDateList,MATCH(TEMPLATE_GROUP,CodeTemplateList,0),1))</f>
        <v>31.12.2023</v>
      </c>
      <c r="H32" s="993" t="s">
        <v>1130</v>
      </c>
      <c r="O32" s="959" t="s">
        <v>776</v>
      </c>
      <c r="AX32" s="1003" t="s">
        <v>1131</v>
      </c>
      <c r="AZ32" s="1003" t="s">
        <v>874</v>
      </c>
      <c r="BE32" s="1003">
        <v>2030</v>
      </c>
      <c r="BJ32" s="953" t="s">
        <v>1028</v>
      </c>
      <c r="BL32" s="953" t="s">
        <v>1028</v>
      </c>
    </row>
    <row r="33" spans="1:66" ht="11.25" customHeight="1">
      <c r="A33" s="959" t="s">
        <v>1132</v>
      </c>
      <c r="O33" s="959" t="s">
        <v>804</v>
      </c>
      <c r="AX33" s="1003" t="s">
        <v>1133</v>
      </c>
      <c r="AZ33" s="1003" t="s">
        <v>777</v>
      </c>
      <c r="BE33" s="1003">
        <v>2031</v>
      </c>
      <c r="BJ33" s="953" t="s">
        <v>1034</v>
      </c>
      <c r="BL33" s="953" t="s">
        <v>1034</v>
      </c>
    </row>
    <row r="34" spans="1:66" ht="11.25" customHeight="1">
      <c r="A34" s="959" t="s">
        <v>1134</v>
      </c>
      <c r="O34" s="959" t="s">
        <v>840</v>
      </c>
      <c r="AX34" s="1003" t="s">
        <v>1135</v>
      </c>
      <c r="BE34" s="1003">
        <v>2032</v>
      </c>
      <c r="BJ34" s="953" t="s">
        <v>1043</v>
      </c>
      <c r="BL34" s="953" t="s">
        <v>1043</v>
      </c>
    </row>
    <row r="35" spans="1:66" ht="11.25" customHeight="1">
      <c r="A35" s="959" t="s">
        <v>1136</v>
      </c>
      <c r="O35" s="959" t="s">
        <v>872</v>
      </c>
      <c r="AX35" s="1003" t="s">
        <v>1137</v>
      </c>
      <c r="AZ35" s="952" t="s">
        <v>1138</v>
      </c>
      <c r="BE35" s="1003">
        <v>2033</v>
      </c>
      <c r="BL35" s="953" t="s">
        <v>1139</v>
      </c>
    </row>
    <row r="36" spans="1:66" ht="11.25" customHeight="1">
      <c r="A36" s="959" t="s">
        <v>1140</v>
      </c>
      <c r="D36" s="994" t="s">
        <v>1141</v>
      </c>
      <c r="E36" s="995" t="s">
        <v>392</v>
      </c>
      <c r="F36" s="996" t="str">
        <f>INDEX(E37:E41,MATCH(TEMPLATE_SPHERE,F37:F41,0))</f>
        <v>теплоснабжения</v>
      </c>
      <c r="G36" s="996" t="str">
        <f>INDEX(G37:G41,MATCH(TEMPLATE_SPHERE,F37:F41,0))</f>
        <v>теплоснабжение</v>
      </c>
      <c r="O36" s="959" t="s">
        <v>897</v>
      </c>
      <c r="AX36" s="1003" t="s">
        <v>1142</v>
      </c>
      <c r="AZ36" s="1003" t="s">
        <v>777</v>
      </c>
      <c r="BE36" s="1003">
        <v>2034</v>
      </c>
      <c r="BL36" s="953" t="s">
        <v>1143</v>
      </c>
    </row>
    <row r="37" spans="1:66" ht="11.25" customHeight="1">
      <c r="A37" s="959" t="s">
        <v>1144</v>
      </c>
      <c r="E37" s="342" t="s">
        <v>1145</v>
      </c>
      <c r="F37" s="997" t="s">
        <v>392</v>
      </c>
      <c r="G37" s="342" t="s">
        <v>1146</v>
      </c>
      <c r="O37" s="959" t="s">
        <v>916</v>
      </c>
      <c r="AX37" s="1003" t="s">
        <v>1147</v>
      </c>
      <c r="AZ37" s="1003" t="s">
        <v>806</v>
      </c>
      <c r="BE37" s="1003">
        <v>2035</v>
      </c>
    </row>
    <row r="38" spans="1:66" ht="11.25" customHeight="1">
      <c r="A38" s="959" t="s">
        <v>14</v>
      </c>
      <c r="E38" s="342" t="s">
        <v>1148</v>
      </c>
      <c r="F38" s="998" t="s">
        <v>393</v>
      </c>
      <c r="G38" s="342" t="s">
        <v>1149</v>
      </c>
      <c r="O38" s="959" t="s">
        <v>932</v>
      </c>
      <c r="AX38" s="1003" t="s">
        <v>1150</v>
      </c>
      <c r="AZ38" s="1003" t="s">
        <v>841</v>
      </c>
      <c r="BE38" s="1003">
        <v>2036</v>
      </c>
      <c r="BH38" s="952" t="s">
        <v>1151</v>
      </c>
      <c r="BJ38" s="952" t="s">
        <v>1152</v>
      </c>
      <c r="BL38" s="952" t="s">
        <v>1153</v>
      </c>
      <c r="BN38" s="952" t="s">
        <v>1154</v>
      </c>
    </row>
    <row r="39" spans="1:66" ht="11.25" customHeight="1">
      <c r="A39" s="959" t="s">
        <v>1155</v>
      </c>
      <c r="E39" s="342" t="s">
        <v>1156</v>
      </c>
      <c r="F39" s="998" t="s">
        <v>394</v>
      </c>
      <c r="G39" s="342" t="s">
        <v>1157</v>
      </c>
      <c r="O39" s="959" t="s">
        <v>948</v>
      </c>
      <c r="AX39" s="1003" t="s">
        <v>1158</v>
      </c>
      <c r="AZ39" s="1003" t="s">
        <v>873</v>
      </c>
      <c r="BE39" s="1003">
        <v>2037</v>
      </c>
      <c r="BH39" s="953" t="s">
        <v>1159</v>
      </c>
      <c r="BJ39" s="1085" t="s">
        <v>1159</v>
      </c>
      <c r="BL39" s="1085" t="s">
        <v>1159</v>
      </c>
      <c r="BN39" s="953" t="s">
        <v>1160</v>
      </c>
    </row>
    <row r="40" spans="1:66" ht="11.25" customHeight="1">
      <c r="A40" s="959" t="s">
        <v>1161</v>
      </c>
      <c r="E40" s="342" t="s">
        <v>1162</v>
      </c>
      <c r="F40" s="998" t="s">
        <v>395</v>
      </c>
      <c r="G40" s="342" t="s">
        <v>1163</v>
      </c>
      <c r="O40" s="959" t="s">
        <v>963</v>
      </c>
      <c r="AX40" s="1003" t="s">
        <v>1164</v>
      </c>
      <c r="BE40" s="1003">
        <v>2038</v>
      </c>
      <c r="BH40" s="953" t="s">
        <v>1165</v>
      </c>
      <c r="BJ40" s="1085" t="s">
        <v>1166</v>
      </c>
      <c r="BL40" s="1085" t="s">
        <v>1166</v>
      </c>
      <c r="BN40" s="953" t="s">
        <v>1167</v>
      </c>
    </row>
    <row r="41" spans="1:66" ht="11.25" customHeight="1">
      <c r="A41" s="959" t="s">
        <v>1168</v>
      </c>
      <c r="E41" s="342" t="s">
        <v>1169</v>
      </c>
      <c r="F41" s="998" t="s">
        <v>396</v>
      </c>
      <c r="G41" s="342" t="s">
        <v>1169</v>
      </c>
      <c r="O41" s="959" t="s">
        <v>979</v>
      </c>
      <c r="AX41" s="1003" t="s">
        <v>1170</v>
      </c>
      <c r="AZ41" s="952" t="s">
        <v>1171</v>
      </c>
      <c r="BE41" s="1003">
        <v>2039</v>
      </c>
      <c r="BH41" s="953" t="s">
        <v>1172</v>
      </c>
      <c r="BJ41" s="1085" t="s">
        <v>1173</v>
      </c>
      <c r="BL41" s="1085" t="s">
        <v>1173</v>
      </c>
      <c r="BN41" s="953" t="s">
        <v>1174</v>
      </c>
    </row>
    <row r="42" spans="1:66" ht="11.25" customHeight="1">
      <c r="A42" s="959" t="s">
        <v>1175</v>
      </c>
      <c r="AX42" s="1003" t="s">
        <v>1176</v>
      </c>
      <c r="AZ42" s="1003" t="s">
        <v>776</v>
      </c>
      <c r="BE42" s="1003">
        <v>2040</v>
      </c>
      <c r="BH42" s="953" t="s">
        <v>1177</v>
      </c>
      <c r="BJ42" s="1085" t="s">
        <v>1178</v>
      </c>
      <c r="BL42" s="1085" t="s">
        <v>1178</v>
      </c>
      <c r="BN42" s="953" t="s">
        <v>1179</v>
      </c>
    </row>
    <row r="43" spans="1:66" ht="11.25" customHeight="1">
      <c r="A43" s="959" t="s">
        <v>1180</v>
      </c>
      <c r="AX43" s="1003" t="s">
        <v>1181</v>
      </c>
      <c r="AZ43" s="1003" t="s">
        <v>804</v>
      </c>
      <c r="BE43" s="1003">
        <v>2041</v>
      </c>
      <c r="BH43" s="953" t="s">
        <v>1182</v>
      </c>
      <c r="BJ43" s="1085" t="s">
        <v>1172</v>
      </c>
      <c r="BL43" s="1085" t="s">
        <v>1172</v>
      </c>
      <c r="BN43" s="953" t="s">
        <v>1183</v>
      </c>
    </row>
    <row r="44" spans="1:66" ht="11.25" customHeight="1">
      <c r="A44" s="959" t="s">
        <v>1184</v>
      </c>
      <c r="I44" s="706" t="s">
        <v>1185</v>
      </c>
      <c r="J44" s="974" t="s">
        <v>1186</v>
      </c>
      <c r="K44" s="974" t="s">
        <v>1187</v>
      </c>
      <c r="AX44" s="1003" t="s">
        <v>1188</v>
      </c>
      <c r="AZ44" s="1003" t="s">
        <v>840</v>
      </c>
      <c r="BE44" s="1003">
        <v>2042</v>
      </c>
      <c r="BH44" s="953" t="s">
        <v>1189</v>
      </c>
      <c r="BJ44" s="1085" t="s">
        <v>1177</v>
      </c>
      <c r="BL44" s="1085" t="s">
        <v>1177</v>
      </c>
      <c r="BN44" s="953" t="s">
        <v>1190</v>
      </c>
    </row>
    <row r="45" spans="1:66" ht="11.25" customHeight="1">
      <c r="A45" s="959" t="s">
        <v>1191</v>
      </c>
      <c r="D45" s="994" t="s">
        <v>1192</v>
      </c>
      <c r="E45" s="995" t="s">
        <v>1193</v>
      </c>
      <c r="F45" s="704" t="s">
        <v>1194</v>
      </c>
      <c r="G45" s="703" t="s">
        <v>1195</v>
      </c>
      <c r="H45" s="706" t="s">
        <v>1196</v>
      </c>
      <c r="I45" s="1603" t="b">
        <f>INDEX(PeriodIsEmptyList,MATCH(TEMPLATE_GROUP,CodeTemplateList,0),1)</f>
        <v>0</v>
      </c>
      <c r="J45" s="1610"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61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003" t="s">
        <v>1197</v>
      </c>
      <c r="AZ45" s="1003" t="s">
        <v>872</v>
      </c>
      <c r="BE45" s="1003">
        <v>2043</v>
      </c>
      <c r="BH45" s="953" t="s">
        <v>1198</v>
      </c>
      <c r="BJ45" s="1085" t="s">
        <v>1199</v>
      </c>
      <c r="BL45" s="1085" t="s">
        <v>1199</v>
      </c>
      <c r="BN45" s="953" t="s">
        <v>1200</v>
      </c>
    </row>
    <row r="46" spans="1:66" ht="11.25" customHeight="1">
      <c r="A46" s="959" t="s">
        <v>1201</v>
      </c>
      <c r="E46" s="342" t="s">
        <v>22</v>
      </c>
      <c r="F46" s="997" t="s">
        <v>1202</v>
      </c>
      <c r="G46" s="999"/>
      <c r="H46" s="999"/>
      <c r="I46" s="1604" t="b">
        <f>IF(TITLE_DATE_FIL="",TRUE,FALSE)</f>
        <v>1</v>
      </c>
      <c r="J46" s="1611" t="str">
        <f>"Общая информация о регулируемой организации ("&amp;TEMPLATE_SPHERE_RUS&amp;")"</f>
        <v>Общая информация о регулируемой организации (теплоснабжения)</v>
      </c>
      <c r="K46" s="1612"/>
      <c r="AX46" s="1003" t="s">
        <v>1203</v>
      </c>
      <c r="AZ46" s="1003" t="s">
        <v>897</v>
      </c>
      <c r="BE46" s="1003">
        <v>2044</v>
      </c>
      <c r="BH46" s="953" t="s">
        <v>1174</v>
      </c>
      <c r="BJ46" s="1085" t="s">
        <v>1204</v>
      </c>
      <c r="BL46" s="1085" t="s">
        <v>1204</v>
      </c>
      <c r="BN46" s="953" t="s">
        <v>1205</v>
      </c>
    </row>
    <row r="47" spans="1:66" ht="11.25" customHeight="1">
      <c r="A47" s="959" t="s">
        <v>1206</v>
      </c>
      <c r="E47" s="342" t="s">
        <v>28</v>
      </c>
      <c r="F47" s="998" t="s">
        <v>1207</v>
      </c>
      <c r="G47" s="1000" t="str">
        <f>IF(f_year="","",IF(LEN(f_quart)=0,"",IF(f_quart="I квартал","01.01."&amp;f_year,IF(f_quart="II квартал","01.04."&amp;f_year,(IF(f_quart="III квартал","01.07."&amp;f_year,"01.10."&amp;f_year))))))</f>
        <v/>
      </c>
      <c r="H47" s="1000" t="str">
        <f>IF(f_year="","",IF(LEN(f_quart)=0,"",IF(f_quart="I квартал","31.03."&amp;f_year,IF(f_quart="II квартал","30.06."&amp;f_year,(IF(f_quart="III квартал","30.09."&amp;f_year,"31.12."&amp;f_year))))))</f>
        <v/>
      </c>
      <c r="I47" s="1605" t="b">
        <f>IF(OR(f_year="",f_quart=""),TRUE,FALSE)</f>
        <v>1</v>
      </c>
      <c r="J47" s="161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612"/>
      <c r="AX47" s="1003" t="s">
        <v>474</v>
      </c>
      <c r="AZ47" s="1003" t="s">
        <v>916</v>
      </c>
      <c r="BE47" s="1003">
        <v>2045</v>
      </c>
      <c r="BH47" s="953" t="s">
        <v>1179</v>
      </c>
      <c r="BJ47" s="1085" t="s">
        <v>1208</v>
      </c>
      <c r="BL47" s="1085" t="s">
        <v>1208</v>
      </c>
      <c r="BN47" s="953" t="s">
        <v>1209</v>
      </c>
    </row>
    <row r="48" spans="1:66" ht="11.25" customHeight="1">
      <c r="A48" s="959" t="s">
        <v>1210</v>
      </c>
      <c r="E48" s="342" t="s">
        <v>493</v>
      </c>
      <c r="F48" s="998" t="s">
        <v>1193</v>
      </c>
      <c r="G48" s="1000" t="str">
        <f>IF(f_year="","","01.01."&amp;f_year)</f>
        <v>01.01.2023</v>
      </c>
      <c r="H48" s="1000" t="str">
        <f>IF(f_year="","","31.12."&amp;f_year)</f>
        <v>31.12.2023</v>
      </c>
      <c r="I48" s="1604" t="b">
        <f>IF(f_year="",TRUE,FALSE)</f>
        <v>0</v>
      </c>
      <c r="J48" s="1611" t="s">
        <v>1211</v>
      </c>
      <c r="K48" s="1612"/>
      <c r="AX48" s="1003" t="s">
        <v>1212</v>
      </c>
      <c r="AZ48" s="1003" t="s">
        <v>932</v>
      </c>
      <c r="BE48" s="1003">
        <v>2046</v>
      </c>
      <c r="BH48" s="953" t="s">
        <v>1183</v>
      </c>
      <c r="BJ48" s="1085" t="s">
        <v>1213</v>
      </c>
      <c r="BL48" s="1085" t="s">
        <v>1213</v>
      </c>
      <c r="BN48" s="953" t="s">
        <v>1214</v>
      </c>
    </row>
    <row r="49" spans="1:64" ht="11.25" customHeight="1">
      <c r="A49" s="959" t="s">
        <v>1215</v>
      </c>
      <c r="E49" s="342" t="s">
        <v>718</v>
      </c>
      <c r="F49" s="998" t="s">
        <v>1216</v>
      </c>
      <c r="G49" s="1000" t="str">
        <f>IF(f_year="","","01.01."&amp;f_year)</f>
        <v>01.01.2023</v>
      </c>
      <c r="H49" s="1000" t="str">
        <f>IF(f_year="","","31.12."&amp;f_year)</f>
        <v>31.12.2023</v>
      </c>
      <c r="I49" s="1604" t="b">
        <f>IF(f_year="",TRUE,FALSE)</f>
        <v>0</v>
      </c>
      <c r="J49" s="161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612"/>
      <c r="AX49" s="1003" t="s">
        <v>721</v>
      </c>
      <c r="AZ49" s="1003" t="s">
        <v>948</v>
      </c>
      <c r="BE49" s="1003">
        <v>2047</v>
      </c>
      <c r="BH49" s="953" t="s">
        <v>1217</v>
      </c>
      <c r="BJ49" s="1085" t="s">
        <v>1218</v>
      </c>
      <c r="BL49" s="1085" t="s">
        <v>1218</v>
      </c>
    </row>
    <row r="50" spans="1:64" ht="11.25" customHeight="1">
      <c r="A50" s="959" t="s">
        <v>1219</v>
      </c>
      <c r="E50" s="342" t="s">
        <v>725</v>
      </c>
      <c r="F50" s="998" t="s">
        <v>1220</v>
      </c>
      <c r="G50" s="1000" t="str">
        <f>IF(f_year="","","01.01."&amp;f_year)</f>
        <v>01.01.2023</v>
      </c>
      <c r="H50" s="1000" t="str">
        <f>IF(f_year="","","31.12."&amp;f_year)</f>
        <v>31.12.2023</v>
      </c>
      <c r="I50" s="1604" t="b">
        <f>IF(f_year="",TRUE,FALSE)</f>
        <v>0</v>
      </c>
      <c r="J50" s="161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612"/>
      <c r="AX50" s="1003" t="s">
        <v>99</v>
      </c>
      <c r="AZ50" s="1003" t="s">
        <v>963</v>
      </c>
      <c r="BE50" s="1003">
        <v>2048</v>
      </c>
      <c r="BH50" s="953" t="s">
        <v>1190</v>
      </c>
      <c r="BJ50" s="1085" t="s">
        <v>1221</v>
      </c>
      <c r="BL50" s="1085" t="s">
        <v>1221</v>
      </c>
    </row>
    <row r="51" spans="1:64" ht="11.25" customHeight="1">
      <c r="A51" s="959" t="s">
        <v>1222</v>
      </c>
      <c r="E51" s="342" t="s">
        <v>726</v>
      </c>
      <c r="F51" s="998" t="s">
        <v>1223</v>
      </c>
      <c r="G51" s="1000" t="str">
        <f>IF(TITLE_PERIOD_START="","",TITLE_PERIOD_START)</f>
        <v/>
      </c>
      <c r="H51" s="1000" t="str">
        <f>IF(TITLE_PERIOD_END="","",TITLE_PERIOD_END)</f>
        <v/>
      </c>
      <c r="I51" s="1605" t="b">
        <f>IF(OR(TITLE_PERIOD_START="",TITLE_PERIOD_END=""),TRUE,FALSE)</f>
        <v>1</v>
      </c>
      <c r="J51" s="161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12"/>
      <c r="AX51" s="1003" t="s">
        <v>1224</v>
      </c>
      <c r="AZ51" s="1003" t="s">
        <v>979</v>
      </c>
      <c r="BE51" s="1003">
        <v>2049</v>
      </c>
      <c r="BH51" s="953" t="s">
        <v>1200</v>
      </c>
      <c r="BJ51" s="1085" t="s">
        <v>1225</v>
      </c>
      <c r="BL51" s="1085" t="s">
        <v>1225</v>
      </c>
    </row>
    <row r="52" spans="1:64" ht="11.25" customHeight="1">
      <c r="A52" s="959" t="s">
        <v>1226</v>
      </c>
      <c r="E52" s="342" t="s">
        <v>727</v>
      </c>
      <c r="F52" s="998" t="s">
        <v>1227</v>
      </c>
      <c r="G52" s="1000" t="str">
        <f>IF(TITLE_PERIOD_START="","",TITLE_PERIOD_START)</f>
        <v/>
      </c>
      <c r="H52" s="1000" t="str">
        <f>IF(TITLE_PERIOD_END="","",TITLE_PERIOD_END)</f>
        <v/>
      </c>
      <c r="I52" s="1605" t="b">
        <f>IF(OR(TITLE_PERIOD_START="",TITLE_PERIOD_END=""),TRUE,FALSE)</f>
        <v>1</v>
      </c>
      <c r="J52" s="1611" t="str">
        <f>"Показатели, подлежащие раскрытию в сфере "&amp;TEMPLATE_SPHERE_RUS&amp;" (цены и тарифы)"</f>
        <v>Показатели, подлежащие раскрытию в сфере теплоснабжения (цены и тарифы)</v>
      </c>
      <c r="K52" s="1612"/>
      <c r="AX52" s="1003" t="s">
        <v>1228</v>
      </c>
      <c r="AZ52" s="1003" t="s">
        <v>777</v>
      </c>
      <c r="BE52" s="1003">
        <v>2050</v>
      </c>
      <c r="BH52" s="953" t="s">
        <v>1205</v>
      </c>
      <c r="BJ52" s="1085" t="s">
        <v>1174</v>
      </c>
      <c r="BL52" s="1085" t="s">
        <v>1174</v>
      </c>
    </row>
    <row r="53" spans="1:64" ht="11.25" customHeight="1">
      <c r="A53" s="959" t="s">
        <v>1229</v>
      </c>
      <c r="E53" s="342" t="s">
        <v>1230</v>
      </c>
      <c r="F53" s="998" t="s">
        <v>1230</v>
      </c>
      <c r="G53" s="1000" t="str">
        <f>IF(f_year="","","01.01."&amp;f_year)</f>
        <v>01.01.2023</v>
      </c>
      <c r="H53" s="1000" t="str">
        <f>IF(f_year="","","31.12."&amp;f_year)</f>
        <v>31.12.2023</v>
      </c>
      <c r="I53" s="1604" t="b">
        <f>IF(f_year="",TRUE,FALSE)</f>
        <v>0</v>
      </c>
      <c r="J53" s="1611" t="s">
        <v>1231</v>
      </c>
      <c r="K53" s="1612"/>
      <c r="AX53" s="1003" t="s">
        <v>1232</v>
      </c>
      <c r="BE53" s="1003">
        <v>2051</v>
      </c>
      <c r="BH53" s="953" t="s">
        <v>1209</v>
      </c>
      <c r="BJ53" s="1085" t="s">
        <v>1179</v>
      </c>
      <c r="BL53" s="1085" t="s">
        <v>1179</v>
      </c>
    </row>
    <row r="54" spans="1:64" ht="11.25" customHeight="1">
      <c r="A54" s="959" t="s">
        <v>1233</v>
      </c>
      <c r="AX54" s="1003" t="s">
        <v>1234</v>
      </c>
      <c r="AZ54" s="952" t="s">
        <v>1235</v>
      </c>
      <c r="BE54" s="1003">
        <v>2052</v>
      </c>
      <c r="BH54" s="953" t="s">
        <v>1214</v>
      </c>
      <c r="BJ54" s="1085" t="s">
        <v>1183</v>
      </c>
      <c r="BL54" s="1085" t="s">
        <v>1183</v>
      </c>
    </row>
    <row r="55" spans="1:64" ht="11.25" customHeight="1">
      <c r="A55" s="959" t="s">
        <v>1236</v>
      </c>
      <c r="AX55" s="1003" t="s">
        <v>1237</v>
      </c>
      <c r="AZ55" s="1003" t="s">
        <v>779</v>
      </c>
      <c r="BE55" s="1003">
        <v>2053</v>
      </c>
      <c r="BH55" s="955" t="s">
        <v>17</v>
      </c>
      <c r="BJ55" s="1085" t="s">
        <v>1217</v>
      </c>
      <c r="BL55" s="1085" t="s">
        <v>1217</v>
      </c>
    </row>
    <row r="56" spans="1:64" ht="11.25" customHeight="1">
      <c r="A56" s="959" t="s">
        <v>1238</v>
      </c>
      <c r="D56" s="1002" t="s">
        <v>1239</v>
      </c>
      <c r="E56" s="979">
        <v>55</v>
      </c>
      <c r="F56" s="959" t="s">
        <v>1240</v>
      </c>
      <c r="AX56" s="1003" t="s">
        <v>1241</v>
      </c>
      <c r="AZ56" s="1003" t="s">
        <v>808</v>
      </c>
      <c r="BE56" s="1003">
        <v>2054</v>
      </c>
      <c r="BH56" s="955" t="s">
        <v>17</v>
      </c>
      <c r="BJ56" s="1085" t="s">
        <v>1190</v>
      </c>
      <c r="BL56" s="1085" t="s">
        <v>1190</v>
      </c>
    </row>
    <row r="57" spans="1:64" ht="11.25" customHeight="1">
      <c r="A57" s="959" t="s">
        <v>1242</v>
      </c>
      <c r="D57" s="1002" t="s">
        <v>1243</v>
      </c>
      <c r="E57" s="979">
        <v>66</v>
      </c>
      <c r="F57" s="959" t="s">
        <v>1240</v>
      </c>
      <c r="AX57" s="1003" t="s">
        <v>1244</v>
      </c>
      <c r="AZ57" s="1003" t="s">
        <v>843</v>
      </c>
      <c r="BE57" s="1003">
        <v>2055</v>
      </c>
      <c r="BJ57" s="1085" t="s">
        <v>1200</v>
      </c>
      <c r="BL57" s="1085" t="s">
        <v>1200</v>
      </c>
    </row>
    <row r="58" spans="1:64" ht="11.25" customHeight="1">
      <c r="A58" s="959" t="s">
        <v>1245</v>
      </c>
      <c r="D58" s="1002" t="s">
        <v>1246</v>
      </c>
      <c r="E58" s="979">
        <v>45</v>
      </c>
      <c r="F58" s="959" t="s">
        <v>1240</v>
      </c>
      <c r="AX58" s="1003" t="s">
        <v>1247</v>
      </c>
      <c r="BE58" s="1003">
        <v>2056</v>
      </c>
      <c r="BJ58" s="1085" t="s">
        <v>1205</v>
      </c>
      <c r="BL58" s="1085" t="s">
        <v>1205</v>
      </c>
    </row>
    <row r="59" spans="1:64" ht="11.25" customHeight="1">
      <c r="A59" s="959" t="s">
        <v>1248</v>
      </c>
      <c r="D59" s="1002" t="s">
        <v>132</v>
      </c>
      <c r="E59" s="979" t="s">
        <v>1073</v>
      </c>
      <c r="F59" s="959" t="s">
        <v>1249</v>
      </c>
      <c r="AX59" s="1003" t="s">
        <v>1250</v>
      </c>
      <c r="AZ59" s="952" t="s">
        <v>1251</v>
      </c>
      <c r="BE59" s="1003">
        <v>2057</v>
      </c>
      <c r="BJ59" s="1085" t="s">
        <v>1209</v>
      </c>
      <c r="BL59" s="1085" t="s">
        <v>1209</v>
      </c>
    </row>
    <row r="60" spans="1:64" ht="11.25" customHeight="1">
      <c r="A60" s="959" t="s">
        <v>1252</v>
      </c>
      <c r="D60" s="1002" t="s">
        <v>1253</v>
      </c>
      <c r="E60" s="979" t="s">
        <v>1073</v>
      </c>
      <c r="F60" s="959" t="s">
        <v>1249</v>
      </c>
      <c r="AX60" s="1003" t="s">
        <v>1254</v>
      </c>
      <c r="AZ60" s="1003" t="s">
        <v>780</v>
      </c>
      <c r="BE60" s="1003">
        <v>2058</v>
      </c>
      <c r="BJ60" s="1085" t="s">
        <v>1214</v>
      </c>
      <c r="BL60" s="1085" t="s">
        <v>1214</v>
      </c>
    </row>
    <row r="61" spans="1:64" ht="11.25" customHeight="1">
      <c r="A61" s="959" t="s">
        <v>1255</v>
      </c>
      <c r="D61" s="1002" t="s">
        <v>1256</v>
      </c>
      <c r="E61" s="979">
        <v>26</v>
      </c>
      <c r="F61" s="959" t="s">
        <v>1249</v>
      </c>
      <c r="AX61" s="1003" t="s">
        <v>1257</v>
      </c>
      <c r="AZ61" s="1003" t="s">
        <v>809</v>
      </c>
      <c r="BE61" s="1003">
        <v>2059</v>
      </c>
      <c r="BL61" s="1085" t="s">
        <v>1258</v>
      </c>
    </row>
    <row r="62" spans="1:64" ht="11.25" customHeight="1">
      <c r="A62" s="959" t="s">
        <v>1259</v>
      </c>
      <c r="D62" s="1002" t="s">
        <v>131</v>
      </c>
      <c r="E62" s="979">
        <v>30</v>
      </c>
      <c r="F62" s="959" t="s">
        <v>1249</v>
      </c>
      <c r="AZ62" s="1003" t="s">
        <v>844</v>
      </c>
      <c r="BE62" s="1003">
        <v>2060</v>
      </c>
      <c r="BL62" s="1085" t="s">
        <v>1260</v>
      </c>
    </row>
    <row r="63" spans="1:64" ht="11.25" customHeight="1">
      <c r="A63" s="959" t="s">
        <v>1261</v>
      </c>
      <c r="D63" s="1002" t="s">
        <v>1262</v>
      </c>
      <c r="E63" s="979">
        <v>30</v>
      </c>
      <c r="F63" s="959" t="s">
        <v>1249</v>
      </c>
      <c r="AZ63" s="1003" t="s">
        <v>875</v>
      </c>
      <c r="BE63" s="1003">
        <v>2061</v>
      </c>
    </row>
    <row r="64" spans="1:64" ht="11.25" customHeight="1">
      <c r="A64" s="959" t="s">
        <v>1263</v>
      </c>
      <c r="D64" s="1002" t="s">
        <v>1264</v>
      </c>
      <c r="E64" s="979">
        <v>30</v>
      </c>
      <c r="F64" s="959" t="s">
        <v>1249</v>
      </c>
      <c r="AZ64" s="1003" t="s">
        <v>898</v>
      </c>
      <c r="BE64" s="1003">
        <v>2062</v>
      </c>
    </row>
    <row r="65" spans="1:66" ht="11.25" customHeight="1">
      <c r="A65" s="959" t="s">
        <v>1265</v>
      </c>
      <c r="D65" s="959"/>
      <c r="BE65" s="1003">
        <v>2063</v>
      </c>
    </row>
    <row r="66" spans="1:66" ht="11.25" customHeight="1">
      <c r="A66" s="959" t="s">
        <v>1266</v>
      </c>
      <c r="AZ66" s="952" t="s">
        <v>1267</v>
      </c>
      <c r="BE66" s="1003">
        <v>2064</v>
      </c>
    </row>
    <row r="67" spans="1:66" ht="11.25" customHeight="1">
      <c r="A67" s="959" t="s">
        <v>1268</v>
      </c>
      <c r="AZ67" s="1003" t="s">
        <v>781</v>
      </c>
      <c r="BE67" s="1003">
        <v>2065</v>
      </c>
    </row>
    <row r="68" spans="1:66" ht="11.25" customHeight="1">
      <c r="A68" s="959" t="s">
        <v>1269</v>
      </c>
      <c r="AZ68" s="1003" t="s">
        <v>810</v>
      </c>
      <c r="BE68" s="1003">
        <v>2066</v>
      </c>
      <c r="BH68" s="952" t="s">
        <v>1270</v>
      </c>
      <c r="BJ68" s="952" t="s">
        <v>1271</v>
      </c>
      <c r="BL68" s="952" t="s">
        <v>1272</v>
      </c>
      <c r="BN68" s="952" t="s">
        <v>1273</v>
      </c>
    </row>
    <row r="69" spans="1:66" ht="11.25" customHeight="1">
      <c r="A69" s="959" t="s">
        <v>1274</v>
      </c>
      <c r="AZ69" s="1003" t="s">
        <v>845</v>
      </c>
      <c r="BE69" s="1003">
        <v>2067</v>
      </c>
      <c r="BH69" s="953" t="s">
        <v>1275</v>
      </c>
      <c r="BI69" s="1001" t="s">
        <v>109</v>
      </c>
      <c r="BJ69" s="953" t="s">
        <v>1276</v>
      </c>
      <c r="BK69" s="1001" t="s">
        <v>109</v>
      </c>
      <c r="BL69" s="953" t="s">
        <v>1277</v>
      </c>
      <c r="BN69" s="953" t="s">
        <v>1278</v>
      </c>
    </row>
    <row r="70" spans="1:66" ht="11.25" customHeight="1">
      <c r="A70" s="959" t="s">
        <v>1279</v>
      </c>
      <c r="AZ70" s="1003" t="s">
        <v>876</v>
      </c>
      <c r="BE70" s="1003">
        <v>2068</v>
      </c>
      <c r="BH70" s="953" t="s">
        <v>1280</v>
      </c>
      <c r="BJ70" s="953" t="s">
        <v>1281</v>
      </c>
      <c r="BL70" s="953" t="s">
        <v>1282</v>
      </c>
      <c r="BN70" s="953" t="s">
        <v>1283</v>
      </c>
    </row>
    <row r="71" spans="1:66" ht="11.25" customHeight="1">
      <c r="A71" s="959" t="s">
        <v>1284</v>
      </c>
      <c r="AZ71" s="1003" t="s">
        <v>878</v>
      </c>
      <c r="BE71" s="1003">
        <v>2069</v>
      </c>
      <c r="BH71" s="953" t="s">
        <v>1285</v>
      </c>
      <c r="BI71" s="1001" t="s">
        <v>90</v>
      </c>
      <c r="BJ71" s="953" t="s">
        <v>1286</v>
      </c>
      <c r="BK71" s="1001" t="s">
        <v>90</v>
      </c>
      <c r="BL71" s="953" t="s">
        <v>1287</v>
      </c>
      <c r="BN71" s="953" t="s">
        <v>1288</v>
      </c>
    </row>
    <row r="72" spans="1:66" ht="11.25" customHeight="1">
      <c r="A72" s="959" t="s">
        <v>1289</v>
      </c>
      <c r="AZ72" s="1003" t="s">
        <v>56</v>
      </c>
      <c r="BE72" s="1003">
        <v>2070</v>
      </c>
      <c r="BH72" s="953" t="s">
        <v>1290</v>
      </c>
      <c r="BJ72" s="953" t="s">
        <v>1290</v>
      </c>
      <c r="BL72" s="953" t="s">
        <v>1290</v>
      </c>
      <c r="BN72" s="953" t="s">
        <v>1291</v>
      </c>
    </row>
    <row r="73" spans="1:66" ht="11.25" customHeight="1">
      <c r="A73" s="959" t="s">
        <v>1292</v>
      </c>
      <c r="BH73" s="953" t="s">
        <v>1293</v>
      </c>
      <c r="BI73" s="1001" t="s">
        <v>111</v>
      </c>
      <c r="BJ73" s="953" t="s">
        <v>1294</v>
      </c>
      <c r="BK73" s="1001" t="s">
        <v>111</v>
      </c>
      <c r="BL73" s="953" t="s">
        <v>1295</v>
      </c>
      <c r="BN73" s="953" t="s">
        <v>1296</v>
      </c>
    </row>
    <row r="74" spans="1:66" ht="11.25" customHeight="1">
      <c r="A74" s="959" t="s">
        <v>1297</v>
      </c>
      <c r="BH74" s="953" t="s">
        <v>1298</v>
      </c>
      <c r="BJ74" s="953" t="s">
        <v>1299</v>
      </c>
      <c r="BL74" s="953" t="s">
        <v>1300</v>
      </c>
      <c r="BN74" s="953" t="s">
        <v>1301</v>
      </c>
    </row>
    <row r="75" spans="1:66" ht="11.25" customHeight="1">
      <c r="A75" s="959" t="s">
        <v>1302</v>
      </c>
      <c r="AZ75" s="952" t="s">
        <v>1303</v>
      </c>
      <c r="BH75" s="953" t="s">
        <v>1304</v>
      </c>
      <c r="BJ75" s="953" t="s">
        <v>1304</v>
      </c>
      <c r="BL75" s="953" t="s">
        <v>1304</v>
      </c>
    </row>
    <row r="76" spans="1:66" ht="11.25" customHeight="1">
      <c r="A76" s="959" t="s">
        <v>1305</v>
      </c>
      <c r="AZ76" s="1003" t="s">
        <v>790</v>
      </c>
      <c r="BH76" s="953" t="s">
        <v>1306</v>
      </c>
      <c r="BJ76" s="953" t="s">
        <v>1307</v>
      </c>
      <c r="BL76" s="953" t="s">
        <v>1308</v>
      </c>
    </row>
    <row r="77" spans="1:66" ht="11.25" customHeight="1">
      <c r="A77" s="959" t="s">
        <v>1309</v>
      </c>
      <c r="AZ77" s="1003" t="s">
        <v>820</v>
      </c>
    </row>
    <row r="78" spans="1:66" ht="11.25" customHeight="1">
      <c r="A78" s="959" t="s">
        <v>1310</v>
      </c>
      <c r="AZ78" s="1003" t="s">
        <v>852</v>
      </c>
    </row>
    <row r="79" spans="1:66" ht="11.25" customHeight="1">
      <c r="A79" s="959" t="s">
        <v>1311</v>
      </c>
      <c r="AZ79" s="1003" t="s">
        <v>882</v>
      </c>
      <c r="BH79" s="952" t="s">
        <v>1312</v>
      </c>
      <c r="BJ79" s="952" t="s">
        <v>1313</v>
      </c>
      <c r="BL79" s="952" t="s">
        <v>1314</v>
      </c>
    </row>
    <row r="80" spans="1:66" ht="11.25" customHeight="1">
      <c r="A80" s="959" t="s">
        <v>1315</v>
      </c>
      <c r="AZ80" s="1003" t="s">
        <v>903</v>
      </c>
      <c r="BH80" s="953" t="s">
        <v>1316</v>
      </c>
      <c r="BJ80" s="953" t="s">
        <v>1317</v>
      </c>
      <c r="BL80" s="953" t="s">
        <v>1318</v>
      </c>
    </row>
    <row r="81" spans="1:66" ht="11.25" customHeight="1">
      <c r="A81" s="959" t="s">
        <v>1319</v>
      </c>
      <c r="AZ81" s="1003" t="s">
        <v>920</v>
      </c>
      <c r="BH81" s="953" t="s">
        <v>1320</v>
      </c>
      <c r="BJ81" s="953" t="s">
        <v>1321</v>
      </c>
      <c r="BL81" s="953" t="s">
        <v>1322</v>
      </c>
    </row>
    <row r="82" spans="1:66" ht="11.25" customHeight="1">
      <c r="A82" s="959" t="s">
        <v>1323</v>
      </c>
      <c r="AZ82" s="1003" t="s">
        <v>934</v>
      </c>
      <c r="BH82" s="953" t="s">
        <v>1324</v>
      </c>
      <c r="BJ82" s="953" t="s">
        <v>1325</v>
      </c>
      <c r="BL82" s="953" t="s">
        <v>1326</v>
      </c>
    </row>
    <row r="83" spans="1:66" ht="11.25" customHeight="1">
      <c r="A83" s="959" t="s">
        <v>1327</v>
      </c>
      <c r="BH83" s="953" t="s">
        <v>1328</v>
      </c>
      <c r="BJ83" s="953" t="s">
        <v>1329</v>
      </c>
      <c r="BL83" s="953" t="s">
        <v>1330</v>
      </c>
    </row>
    <row r="84" spans="1:66" ht="11.25" customHeight="1">
      <c r="A84" s="959" t="s">
        <v>1331</v>
      </c>
      <c r="AZ84" s="952" t="s">
        <v>1332</v>
      </c>
    </row>
    <row r="85" spans="1:66" ht="11.25" customHeight="1">
      <c r="A85" s="959" t="s">
        <v>1333</v>
      </c>
      <c r="AZ85" s="1003" t="s">
        <v>1334</v>
      </c>
    </row>
    <row r="86" spans="1:66" ht="11.25" customHeight="1">
      <c r="A86" s="959" t="s">
        <v>1335</v>
      </c>
      <c r="AZ86" s="1003" t="s">
        <v>1336</v>
      </c>
      <c r="BH86" s="952" t="s">
        <v>1337</v>
      </c>
      <c r="BJ86" s="952" t="s">
        <v>1338</v>
      </c>
      <c r="BL86" s="952" t="s">
        <v>1339</v>
      </c>
    </row>
    <row r="87" spans="1:66" ht="11.25" customHeight="1">
      <c r="A87" s="959" t="s">
        <v>1340</v>
      </c>
      <c r="AZ87" s="1003" t="s">
        <v>1341</v>
      </c>
      <c r="BH87" s="953" t="s">
        <v>1342</v>
      </c>
      <c r="BJ87" s="953" t="s">
        <v>1343</v>
      </c>
      <c r="BL87" s="953" t="s">
        <v>1344</v>
      </c>
    </row>
    <row r="88" spans="1:66" ht="11.25" customHeight="1">
      <c r="AZ88" s="1472"/>
      <c r="BH88" s="953" t="s">
        <v>1345</v>
      </c>
      <c r="BJ88" s="953" t="s">
        <v>1346</v>
      </c>
      <c r="BL88" s="953" t="s">
        <v>1347</v>
      </c>
    </row>
    <row r="89" spans="1:66" ht="11.25" customHeight="1">
      <c r="AZ89" s="952" t="s">
        <v>1348</v>
      </c>
    </row>
    <row r="90" spans="1:66" ht="11.25" customHeight="1">
      <c r="AZ90" s="1003" t="s">
        <v>1220</v>
      </c>
    </row>
    <row r="91" spans="1:66" ht="11.25" customHeight="1">
      <c r="AZ91" s="1003" t="s">
        <v>1349</v>
      </c>
      <c r="BH91" s="952" t="s">
        <v>1350</v>
      </c>
      <c r="BJ91" s="952" t="s">
        <v>1351</v>
      </c>
      <c r="BL91" s="952" t="s">
        <v>1352</v>
      </c>
    </row>
    <row r="92" spans="1:66" ht="11.25" customHeight="1">
      <c r="AZ92" s="1003" t="s">
        <v>1353</v>
      </c>
      <c r="BH92" s="953" t="s">
        <v>1354</v>
      </c>
      <c r="BJ92" s="953" t="s">
        <v>1355</v>
      </c>
      <c r="BL92" s="953" t="s">
        <v>1356</v>
      </c>
    </row>
    <row r="93" spans="1:66" ht="11.25" customHeight="1">
      <c r="AZ93" s="1003" t="s">
        <v>1357</v>
      </c>
      <c r="BH93" s="953" t="s">
        <v>1358</v>
      </c>
      <c r="BJ93" s="953" t="s">
        <v>1359</v>
      </c>
      <c r="BL93" s="953" t="s">
        <v>1360</v>
      </c>
    </row>
    <row r="94" spans="1:66" ht="11.25" customHeight="1">
      <c r="AZ94" s="1003" t="s">
        <v>1361</v>
      </c>
    </row>
    <row r="96" spans="1:66" ht="11.25" customHeight="1">
      <c r="BH96" s="952" t="s">
        <v>1362</v>
      </c>
      <c r="BJ96" s="952" t="s">
        <v>1363</v>
      </c>
      <c r="BL96" s="952" t="s">
        <v>1364</v>
      </c>
      <c r="BN96" s="952" t="s">
        <v>1365</v>
      </c>
    </row>
    <row r="97" spans="60:66" ht="11.25" customHeight="1">
      <c r="BH97" s="953" t="s">
        <v>1366</v>
      </c>
      <c r="BJ97" s="953" t="s">
        <v>1367</v>
      </c>
      <c r="BL97" s="953" t="s">
        <v>1368</v>
      </c>
      <c r="BN97" s="953" t="s">
        <v>1369</v>
      </c>
    </row>
    <row r="98" spans="60:66" ht="11.25" customHeight="1">
      <c r="BH98" s="953" t="s">
        <v>1370</v>
      </c>
      <c r="BJ98" s="953" t="s">
        <v>1371</v>
      </c>
      <c r="BL98" s="953" t="s">
        <v>1372</v>
      </c>
      <c r="BN98" s="953" t="s">
        <v>1373</v>
      </c>
    </row>
    <row r="99" spans="60:66" ht="11.25" customHeight="1">
      <c r="BH99" s="953" t="s">
        <v>1374</v>
      </c>
      <c r="BJ99" s="953" t="s">
        <v>1375</v>
      </c>
      <c r="BL99" s="953" t="s">
        <v>1376</v>
      </c>
      <c r="BN99" s="953" t="s">
        <v>1377</v>
      </c>
    </row>
    <row r="100" spans="60:66" ht="11.25" customHeight="1">
      <c r="BJ100" s="953" t="s">
        <v>979</v>
      </c>
      <c r="BL100" s="953" t="s">
        <v>979</v>
      </c>
      <c r="BN100" s="953" t="s">
        <v>1378</v>
      </c>
    </row>
    <row r="101" spans="60:66" ht="11.25" customHeight="1">
      <c r="BN101" s="953" t="s">
        <v>1379</v>
      </c>
    </row>
    <row r="102" spans="60:66" ht="11.25" customHeight="1">
      <c r="BN102" s="953" t="s">
        <v>1380</v>
      </c>
    </row>
    <row r="103" spans="60:66" ht="11.25" customHeight="1">
      <c r="BN103" s="953" t="s">
        <v>1381</v>
      </c>
    </row>
    <row r="104" spans="60:66" ht="11.25" customHeight="1">
      <c r="BN104" s="953" t="s">
        <v>1382</v>
      </c>
    </row>
    <row r="107" spans="60:66" ht="11.25" customHeight="1">
      <c r="BH107" s="952" t="s">
        <v>1383</v>
      </c>
      <c r="BJ107" s="952" t="s">
        <v>1384</v>
      </c>
      <c r="BL107" s="952" t="s">
        <v>1385</v>
      </c>
      <c r="BN107" s="952" t="s">
        <v>1386</v>
      </c>
    </row>
    <row r="108" spans="60:66" ht="11.25" customHeight="1">
      <c r="BH108" s="953" t="s">
        <v>1387</v>
      </c>
      <c r="BJ108" s="953" t="s">
        <v>1388</v>
      </c>
      <c r="BL108" s="953" t="s">
        <v>1389</v>
      </c>
      <c r="BN108" s="953" t="s">
        <v>1390</v>
      </c>
    </row>
    <row r="109" spans="60:66" ht="11.25" customHeight="1">
      <c r="BH109" s="953" t="s">
        <v>1391</v>
      </c>
    </row>
    <row r="110" spans="60:66" ht="11.25" customHeight="1">
      <c r="BH110" s="953" t="s">
        <v>1391</v>
      </c>
    </row>
    <row r="114" spans="60:60" ht="11.25" customHeight="1">
      <c r="BH114" s="952" t="s">
        <v>1392</v>
      </c>
    </row>
    <row r="115" spans="60:60" ht="11.25" customHeight="1">
      <c r="BH115" s="953" t="s">
        <v>777</v>
      </c>
    </row>
    <row r="116" spans="60:60" ht="11.25" customHeight="1">
      <c r="BH116" s="953" t="s">
        <v>806</v>
      </c>
    </row>
    <row r="117" spans="60:60" ht="11.25" customHeight="1">
      <c r="BH117" s="953" t="s">
        <v>841</v>
      </c>
    </row>
    <row r="118" spans="60:60" ht="11.25" customHeight="1">
      <c r="BH118" s="953" t="s">
        <v>873</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L203"/>
  <sheetViews>
    <sheetView showGridLines="0" zoomScale="85" workbookViewId="0"/>
  </sheetViews>
  <sheetFormatPr defaultRowHeight="17.100000000000001" customHeight="1"/>
  <cols>
    <col min="1" max="1" width="26.5703125" style="1753" customWidth="1"/>
    <col min="2" max="2" width="10" style="1753" customWidth="1"/>
    <col min="4" max="4" width="11.140625" style="1753" customWidth="1"/>
    <col min="5" max="5" width="16.5703125" style="1753" customWidth="1"/>
    <col min="6" max="6" width="16.28515625" style="1753" customWidth="1"/>
    <col min="7" max="7" width="19.140625" style="1753" customWidth="1"/>
    <col min="8" max="11" width="10" style="1753" customWidth="1"/>
    <col min="12" max="12" width="12.7109375" style="1753" customWidth="1"/>
    <col min="13" max="13" width="61.28515625" style="1753" customWidth="1"/>
    <col min="14" max="14" width="10" style="1753" customWidth="1"/>
    <col min="15" max="17" width="23.7109375" style="1753" customWidth="1"/>
    <col min="18" max="18" width="11.7109375" style="1753" customWidth="1"/>
    <col min="19" max="19" width="8.5703125" style="1753" customWidth="1"/>
    <col min="20" max="20" width="11.7109375" style="1753" customWidth="1"/>
    <col min="21" max="21" width="8.5703125" style="1753" customWidth="1"/>
    <col min="22" max="22" width="4.7109375" style="1753" customWidth="1"/>
    <col min="23" max="23" width="115.7109375" style="1753" customWidth="1"/>
    <col min="24" max="24" width="115.28515625" style="1753" customWidth="1"/>
    <col min="28" max="28" width="115.7109375" style="1753" customWidth="1"/>
    <col min="30" max="90" width="115.7109375" style="1753" customWidth="1"/>
  </cols>
  <sheetData>
    <row r="1" spans="1:80" s="1753" customFormat="1" ht="17.25" customHeight="1"/>
    <row r="2" spans="1:80" s="1754" customFormat="1" ht="17.25" customHeight="1">
      <c r="A2" s="1754" t="s">
        <v>1393</v>
      </c>
    </row>
    <row r="3" spans="1:80" s="1753" customFormat="1" ht="17.25" customHeight="1"/>
    <row r="4" spans="1:80" s="1749" customFormat="1" ht="15" customHeight="1">
      <c r="C4" s="67"/>
      <c r="D4" s="1755"/>
      <c r="E4" s="1756"/>
    </row>
    <row r="6" spans="1:80" s="1754" customFormat="1" ht="17.25" customHeight="1">
      <c r="A6" s="21" t="s">
        <v>1394</v>
      </c>
    </row>
    <row r="8" spans="1:80" s="1749" customFormat="1" ht="17.25" customHeight="1">
      <c r="C8" s="29"/>
      <c r="D8" s="1755"/>
      <c r="E8" s="1757"/>
    </row>
    <row r="10" spans="1:80" s="1753" customFormat="1" ht="17.25" customHeight="1"/>
    <row r="11" spans="1:80" s="1754" customFormat="1" ht="17.25" customHeight="1">
      <c r="A11" s="21" t="s">
        <v>1395</v>
      </c>
    </row>
    <row r="12" spans="1:80" s="1753" customFormat="1" ht="17.25" customHeight="1"/>
    <row r="13" spans="1:80" s="1651" customFormat="1" ht="14.25" customHeight="1">
      <c r="A13" s="2129">
        <v>1</v>
      </c>
      <c r="B13" s="1759"/>
      <c r="C13" s="708" t="s">
        <v>1109</v>
      </c>
      <c r="D13" s="1760"/>
      <c r="E13" s="1761">
        <f>A13</f>
        <v>1</v>
      </c>
      <c r="F13" s="1762"/>
      <c r="G13" s="1763" t="str">
        <f>"Территория "&amp;E13</f>
        <v>Территория 1</v>
      </c>
      <c r="H13" s="1764"/>
      <c r="I13" s="1764"/>
      <c r="J13" s="1765"/>
      <c r="K13" s="428"/>
      <c r="L13" s="428"/>
      <c r="M13" s="428"/>
      <c r="N13" s="148"/>
      <c r="O13" s="428"/>
      <c r="P13" s="1766"/>
      <c r="Q13" s="1766"/>
      <c r="R13" s="1766"/>
      <c r="S13" s="1766"/>
    </row>
    <row r="14" spans="1:80" s="1753" customFormat="1" ht="15" customHeight="1">
      <c r="A14" s="2129"/>
      <c r="B14" s="352">
        <v>1</v>
      </c>
      <c r="C14" s="352"/>
      <c r="D14" s="1767" t="s">
        <v>1109</v>
      </c>
      <c r="E14" s="1768" t="str">
        <f>A13&amp;"."&amp;B14</f>
        <v>1.1</v>
      </c>
      <c r="F14" s="1769">
        <f>$F$16</f>
        <v>0</v>
      </c>
      <c r="G14" s="1770"/>
      <c r="H14" s="1770"/>
      <c r="I14" s="1771"/>
      <c r="J14" s="428" t="e">
        <f ca="1">MERGEVALUE(G14)</f>
        <v>#NAME?</v>
      </c>
      <c r="K14" s="1772"/>
      <c r="L14" s="1772"/>
      <c r="M14" s="428" t="str">
        <f t="array" ref="M14">IF(ISERROR(MATCH(MID(N14,1,250),MID(note_ter,1,250),0)),"n","y")</f>
        <v>n</v>
      </c>
      <c r="N14" s="1772"/>
      <c r="O14" s="428" t="str">
        <f>H14&amp;"("&amp;I14&amp;")"</f>
        <v>()</v>
      </c>
      <c r="P14" s="352"/>
      <c r="Q14" s="352"/>
      <c r="R14" s="1773"/>
      <c r="S14" s="352"/>
      <c r="T14" s="352"/>
      <c r="U14" s="352"/>
      <c r="V14" s="1774"/>
      <c r="W14" s="1774"/>
      <c r="X14" s="1775"/>
      <c r="Y14" s="353"/>
      <c r="Z14" s="353"/>
      <c r="AA14" s="353"/>
      <c r="AB14" s="1775"/>
      <c r="AC14" s="353"/>
      <c r="AD14" s="1775"/>
      <c r="AE14" s="1775"/>
      <c r="AF14" s="1775"/>
      <c r="AG14" s="1775"/>
      <c r="AH14" s="1775"/>
      <c r="AI14" s="1775"/>
      <c r="AJ14" s="1775"/>
      <c r="AK14" s="1775"/>
      <c r="AL14" s="1775"/>
      <c r="AM14" s="1775"/>
      <c r="AN14" s="1775"/>
      <c r="AO14" s="1775"/>
      <c r="AP14" s="1775"/>
      <c r="AQ14" s="1775"/>
      <c r="AR14" s="1775"/>
      <c r="AS14" s="1775"/>
      <c r="AT14" s="1775"/>
      <c r="AU14" s="1775"/>
      <c r="AV14" s="1775"/>
      <c r="AW14" s="1775"/>
      <c r="AX14" s="1775"/>
      <c r="AY14" s="1775"/>
      <c r="AZ14" s="1775"/>
      <c r="BA14" s="1775"/>
      <c r="BB14" s="1775"/>
      <c r="BC14" s="1775"/>
      <c r="BD14" s="1775"/>
      <c r="BE14" s="1775"/>
      <c r="BF14" s="1775"/>
      <c r="BG14" s="1775"/>
      <c r="BH14" s="1775"/>
      <c r="BI14" s="1775"/>
      <c r="BJ14" s="1775"/>
      <c r="BK14" s="1775"/>
      <c r="BL14" s="1775"/>
      <c r="BM14" s="1775"/>
      <c r="BN14" s="1775"/>
      <c r="BO14" s="1775"/>
      <c r="BP14" s="1775"/>
      <c r="BQ14" s="1775"/>
      <c r="BR14" s="1775"/>
      <c r="BS14" s="1774"/>
      <c r="BT14" s="1774"/>
      <c r="BU14" s="1774"/>
      <c r="BV14" s="1774"/>
      <c r="BW14" s="1774"/>
      <c r="BX14" s="1774"/>
      <c r="BY14" s="1774"/>
      <c r="BZ14" s="1774"/>
      <c r="CA14" s="1774"/>
      <c r="CB14" s="1774"/>
    </row>
    <row r="15" spans="1:80" s="1753" customFormat="1" ht="15" customHeight="1">
      <c r="A15" s="2129"/>
      <c r="B15" s="352"/>
      <c r="C15" s="347"/>
      <c r="D15" s="1776"/>
      <c r="E15" s="1777"/>
      <c r="F15" s="1778"/>
      <c r="G15" s="1779" t="s">
        <v>102</v>
      </c>
      <c r="H15" s="1780"/>
      <c r="I15" s="1781"/>
      <c r="J15" s="1772"/>
      <c r="K15" s="1772"/>
      <c r="L15" s="1772"/>
      <c r="M15" s="1772"/>
      <c r="N15" s="428"/>
      <c r="O15" s="1772"/>
      <c r="P15" s="352"/>
      <c r="Q15" s="352"/>
      <c r="R15" s="1773"/>
      <c r="S15" s="352"/>
      <c r="T15" s="352"/>
      <c r="U15" s="352"/>
      <c r="V15" s="1774"/>
      <c r="W15" s="1774"/>
      <c r="X15" s="1775"/>
      <c r="Y15" s="353"/>
      <c r="Z15" s="353"/>
      <c r="AA15" s="353"/>
      <c r="AB15" s="1775"/>
      <c r="AC15" s="353"/>
      <c r="AD15" s="1775"/>
      <c r="AE15" s="1775"/>
      <c r="AF15" s="1775"/>
      <c r="AG15" s="1775"/>
      <c r="AH15" s="1775"/>
      <c r="AI15" s="1775"/>
      <c r="AJ15" s="1775"/>
      <c r="AK15" s="1775"/>
      <c r="AL15" s="1775"/>
      <c r="AM15" s="1775"/>
      <c r="AN15" s="1775"/>
      <c r="AO15" s="1775"/>
      <c r="AP15" s="1775"/>
      <c r="AQ15" s="1775"/>
      <c r="AR15" s="1775"/>
      <c r="AS15" s="1775"/>
      <c r="AT15" s="1775"/>
      <c r="AU15" s="1775"/>
      <c r="AV15" s="1775"/>
      <c r="AW15" s="1775"/>
      <c r="AX15" s="1775"/>
      <c r="AY15" s="1775"/>
      <c r="AZ15" s="1775"/>
      <c r="BA15" s="1775"/>
      <c r="BB15" s="1775"/>
      <c r="BC15" s="1775"/>
      <c r="BD15" s="1775"/>
      <c r="BE15" s="1775"/>
      <c r="BF15" s="1775"/>
      <c r="BG15" s="1775"/>
      <c r="BH15" s="1775"/>
      <c r="BI15" s="1775"/>
      <c r="BJ15" s="1775"/>
      <c r="BK15" s="1775"/>
      <c r="BL15" s="1775"/>
      <c r="BM15" s="1775"/>
      <c r="BN15" s="1775"/>
      <c r="BO15" s="1775"/>
      <c r="BP15" s="1775"/>
      <c r="BQ15" s="1775"/>
      <c r="BR15" s="1775"/>
      <c r="BS15" s="1774"/>
      <c r="BT15" s="1774"/>
      <c r="BU15" s="1774"/>
      <c r="BV15" s="1774"/>
      <c r="BW15" s="1774"/>
      <c r="BX15" s="1774"/>
      <c r="BY15" s="1774"/>
      <c r="BZ15" s="1774"/>
      <c r="CA15" s="1774"/>
      <c r="CB15" s="1774"/>
    </row>
    <row r="16" spans="1:80" s="1753" customFormat="1" ht="17.25" customHeight="1"/>
    <row r="17" spans="1:38" s="1753" customFormat="1" ht="15" customHeight="1">
      <c r="A17" s="21" t="s">
        <v>1396</v>
      </c>
      <c r="B17" s="21"/>
      <c r="C17" s="21"/>
      <c r="D17" s="21"/>
      <c r="E17" s="21"/>
      <c r="F17" s="21"/>
      <c r="G17" s="21"/>
      <c r="H17" s="21"/>
      <c r="I17" s="21"/>
      <c r="J17" s="21"/>
      <c r="K17" s="21"/>
      <c r="L17" s="21"/>
      <c r="M17" s="21"/>
      <c r="N17" s="21"/>
      <c r="O17" s="21"/>
      <c r="P17" s="21"/>
      <c r="Q17" s="21"/>
      <c r="R17" s="21"/>
      <c r="S17" s="21"/>
      <c r="T17" s="21"/>
      <c r="U17" s="1782"/>
      <c r="V17" s="21"/>
      <c r="W17" s="21"/>
    </row>
    <row r="18" spans="1:38" s="1753" customFormat="1" ht="15" customHeight="1">
      <c r="U18" s="1783"/>
    </row>
    <row r="19" spans="1:38" s="1950" customFormat="1" ht="15" customHeight="1">
      <c r="A19" s="211"/>
      <c r="B19" s="211"/>
      <c r="C19" s="1586" t="s">
        <v>1109</v>
      </c>
      <c r="D19" s="2032" t="s">
        <v>109</v>
      </c>
      <c r="E19" s="2189"/>
      <c r="F19" s="2031" t="s">
        <v>56</v>
      </c>
      <c r="G19" s="2190"/>
      <c r="H19" s="2021">
        <v>1</v>
      </c>
      <c r="I19" s="2192" t="str">
        <f>IF(U19="","",INDEX(TERRITORY_MR_LIST,MATCH(U19,TERRITORY_LIST_ID,0)))</f>
        <v/>
      </c>
      <c r="J19" s="2031" t="s">
        <v>56</v>
      </c>
      <c r="K19" s="738"/>
      <c r="L19" s="711" t="s">
        <v>109</v>
      </c>
      <c r="M19" s="1784"/>
      <c r="N19" s="1785"/>
      <c r="O19" s="1785"/>
      <c r="P19" s="1785"/>
      <c r="Q19" s="1785"/>
      <c r="R19" s="1785"/>
      <c r="S19" s="1785"/>
      <c r="T19" s="1785"/>
      <c r="U19" s="1786"/>
      <c r="V19" s="1785"/>
      <c r="W19" s="1785"/>
      <c r="X19" s="520"/>
      <c r="Y19" s="520" t="s">
        <v>119</v>
      </c>
      <c r="Z19" s="520">
        <v>1705000</v>
      </c>
      <c r="AA19" s="520"/>
      <c r="AB19" s="520"/>
      <c r="AC19" s="520"/>
      <c r="AD19" s="520"/>
      <c r="AE19" s="520"/>
      <c r="AF19" s="520"/>
      <c r="AG19" s="520"/>
      <c r="AH19" s="520"/>
      <c r="AI19" s="520"/>
      <c r="AJ19" s="520"/>
      <c r="AK19" s="520"/>
      <c r="AL19" s="520"/>
    </row>
    <row r="20" spans="1:38" s="1950" customFormat="1" ht="15" customHeight="1">
      <c r="A20" s="211"/>
      <c r="B20" s="211"/>
      <c r="C20" s="104"/>
      <c r="D20" s="2032"/>
      <c r="E20" s="2189"/>
      <c r="F20" s="2031"/>
      <c r="G20" s="2191"/>
      <c r="H20" s="2021"/>
      <c r="I20" s="2193"/>
      <c r="J20" s="2031"/>
      <c r="K20" s="355"/>
      <c r="L20" s="105"/>
      <c r="M20" s="1787" t="s">
        <v>120</v>
      </c>
      <c r="N20" s="1785"/>
      <c r="O20" s="1785"/>
      <c r="P20" s="1785"/>
      <c r="Q20" s="1785"/>
      <c r="R20" s="1785"/>
      <c r="S20" s="1785"/>
      <c r="T20" s="1785"/>
      <c r="U20" s="1786"/>
      <c r="V20" s="1785"/>
      <c r="W20" s="1785"/>
      <c r="X20" s="520"/>
      <c r="Y20" s="520"/>
      <c r="Z20" s="520"/>
      <c r="AA20" s="520"/>
      <c r="AB20" s="520"/>
      <c r="AC20" s="520"/>
      <c r="AD20" s="520"/>
      <c r="AE20" s="520"/>
      <c r="AF20" s="520"/>
      <c r="AG20" s="520"/>
      <c r="AH20" s="520"/>
      <c r="AI20" s="520"/>
      <c r="AJ20" s="520"/>
      <c r="AK20" s="520"/>
      <c r="AL20" s="520"/>
    </row>
    <row r="21" spans="1:38" s="1950" customFormat="1" ht="15" customHeight="1">
      <c r="A21" s="211"/>
      <c r="B21" s="211"/>
      <c r="C21" s="104"/>
      <c r="D21" s="2032"/>
      <c r="E21" s="2189"/>
      <c r="F21" s="2031"/>
      <c r="G21" s="355"/>
      <c r="H21" s="105"/>
      <c r="I21" s="1788" t="s">
        <v>121</v>
      </c>
      <c r="J21" s="105"/>
      <c r="K21" s="105"/>
      <c r="L21" s="105"/>
      <c r="M21" s="1789"/>
      <c r="N21" s="1785"/>
      <c r="O21" s="1785"/>
      <c r="P21" s="1785"/>
      <c r="Q21" s="1785"/>
      <c r="R21" s="1785"/>
      <c r="S21" s="1785"/>
      <c r="T21" s="1785"/>
      <c r="U21" s="1786"/>
      <c r="V21" s="1785"/>
      <c r="W21" s="1785"/>
      <c r="X21" s="520"/>
      <c r="Y21" s="520"/>
      <c r="Z21" s="520"/>
      <c r="AA21" s="520"/>
      <c r="AB21" s="520"/>
      <c r="AC21" s="520"/>
      <c r="AD21" s="520"/>
      <c r="AE21" s="520"/>
      <c r="AF21" s="520"/>
      <c r="AG21" s="520"/>
      <c r="AH21" s="520"/>
      <c r="AI21" s="520"/>
      <c r="AJ21" s="520"/>
      <c r="AK21" s="520"/>
      <c r="AL21" s="520"/>
    </row>
    <row r="22" spans="1:38" s="1753" customFormat="1" ht="15" customHeight="1">
      <c r="U22" s="1783"/>
    </row>
    <row r="23" spans="1:38" s="1753" customFormat="1" ht="15" customHeight="1">
      <c r="A23" s="21" t="s">
        <v>1397</v>
      </c>
      <c r="B23" s="21"/>
      <c r="C23" s="21"/>
      <c r="D23" s="21"/>
      <c r="E23" s="21"/>
      <c r="F23" s="21"/>
      <c r="G23" s="21"/>
      <c r="H23" s="21"/>
      <c r="I23" s="21"/>
      <c r="J23" s="21"/>
      <c r="K23" s="21"/>
      <c r="L23" s="21"/>
      <c r="M23" s="21"/>
      <c r="N23" s="21"/>
      <c r="O23" s="21"/>
      <c r="P23" s="21"/>
      <c r="Q23" s="21"/>
      <c r="R23" s="21"/>
      <c r="S23" s="21"/>
      <c r="T23" s="21"/>
      <c r="U23" s="1782"/>
      <c r="V23" s="21"/>
      <c r="W23" s="21"/>
    </row>
    <row r="24" spans="1:38" s="1753" customFormat="1" ht="15" customHeight="1">
      <c r="U24" s="1783"/>
    </row>
    <row r="25" spans="1:38" s="1950" customFormat="1" ht="15" customHeight="1">
      <c r="A25" s="211"/>
      <c r="B25" s="211"/>
      <c r="C25" s="104"/>
      <c r="D25" s="1790"/>
      <c r="E25" s="1790"/>
      <c r="F25" s="1790"/>
      <c r="G25" s="2194" t="s">
        <v>1109</v>
      </c>
      <c r="H25" s="2002">
        <v>1</v>
      </c>
      <c r="I25" s="2195" t="str">
        <f>IF(U25="","",INDEX(TERRITORY_MR_LIST,MATCH(U25,TERRITORY_LIST_ID,0)))</f>
        <v/>
      </c>
      <c r="J25" s="2031" t="s">
        <v>56</v>
      </c>
      <c r="K25" s="738"/>
      <c r="L25" s="711" t="s">
        <v>109</v>
      </c>
      <c r="M25" s="1784"/>
      <c r="N25" s="1785"/>
      <c r="O25" s="1785"/>
      <c r="P25" s="1785"/>
      <c r="Q25" s="1785"/>
      <c r="R25" s="1785"/>
      <c r="S25" s="1785"/>
      <c r="T25" s="1785"/>
      <c r="U25" s="1786"/>
      <c r="V25" s="1785"/>
      <c r="W25" s="1785"/>
      <c r="X25" s="520"/>
      <c r="Y25" s="520" t="s">
        <v>119</v>
      </c>
      <c r="Z25" s="520">
        <v>1705000</v>
      </c>
      <c r="AA25" s="520"/>
      <c r="AB25" s="520"/>
      <c r="AC25" s="520"/>
      <c r="AD25" s="520"/>
      <c r="AE25" s="520"/>
      <c r="AF25" s="520"/>
      <c r="AG25" s="520"/>
      <c r="AH25" s="520"/>
      <c r="AI25" s="520"/>
      <c r="AJ25" s="520"/>
      <c r="AK25" s="520"/>
      <c r="AL25" s="520"/>
    </row>
    <row r="26" spans="1:38" s="1950" customFormat="1" ht="15" customHeight="1">
      <c r="A26" s="211"/>
      <c r="B26" s="211"/>
      <c r="C26" s="104"/>
      <c r="D26" s="1790"/>
      <c r="E26" s="1790"/>
      <c r="F26" s="1790"/>
      <c r="G26" s="2194"/>
      <c r="H26" s="2002"/>
      <c r="I26" s="2195"/>
      <c r="J26" s="2031"/>
      <c r="K26" s="355"/>
      <c r="L26" s="105"/>
      <c r="M26" s="529" t="s">
        <v>120</v>
      </c>
      <c r="N26" s="1785"/>
      <c r="O26" s="1785"/>
      <c r="P26" s="1785"/>
      <c r="Q26" s="1785"/>
      <c r="R26" s="1785"/>
      <c r="S26" s="1785"/>
      <c r="T26" s="1785"/>
      <c r="U26" s="1786"/>
      <c r="V26" s="1785"/>
      <c r="W26" s="1785"/>
      <c r="X26" s="520"/>
      <c r="Y26" s="520"/>
      <c r="Z26" s="520"/>
      <c r="AA26" s="520"/>
      <c r="AB26" s="520"/>
      <c r="AC26" s="520"/>
      <c r="AD26" s="520"/>
      <c r="AE26" s="520"/>
      <c r="AF26" s="520"/>
      <c r="AG26" s="520"/>
      <c r="AH26" s="520"/>
      <c r="AI26" s="520"/>
      <c r="AJ26" s="520"/>
      <c r="AK26" s="520"/>
      <c r="AL26" s="520"/>
    </row>
    <row r="27" spans="1:38" s="1753" customFormat="1" ht="15" customHeight="1">
      <c r="U27" s="1783"/>
    </row>
    <row r="28" spans="1:38" s="1753" customFormat="1" ht="15" customHeight="1">
      <c r="A28" s="21" t="s">
        <v>1398</v>
      </c>
      <c r="B28" s="21"/>
      <c r="C28" s="21"/>
      <c r="D28" s="21"/>
      <c r="E28" s="21"/>
      <c r="F28" s="21"/>
      <c r="G28" s="21"/>
      <c r="H28" s="21"/>
      <c r="I28" s="21"/>
      <c r="J28" s="21"/>
      <c r="K28" s="21"/>
      <c r="L28" s="21"/>
      <c r="M28" s="21"/>
      <c r="N28" s="21"/>
      <c r="O28" s="21"/>
      <c r="P28" s="21"/>
      <c r="Q28" s="21"/>
      <c r="R28" s="21"/>
      <c r="S28" s="21"/>
      <c r="T28" s="21"/>
      <c r="U28" s="1782"/>
      <c r="V28" s="21"/>
      <c r="W28" s="21"/>
    </row>
    <row r="29" spans="1:38" s="1753" customFormat="1" ht="15" customHeight="1">
      <c r="U29" s="1783"/>
    </row>
    <row r="30" spans="1:38" s="1950" customFormat="1" ht="15" customHeight="1">
      <c r="A30" s="211"/>
      <c r="B30" s="211"/>
      <c r="C30" s="104"/>
      <c r="D30" s="1790"/>
      <c r="E30" s="1790"/>
      <c r="F30" s="1790"/>
      <c r="G30" s="1790"/>
      <c r="H30" s="1790"/>
      <c r="I30" s="1790"/>
      <c r="J30" s="1790"/>
      <c r="K30" s="1588" t="s">
        <v>1109</v>
      </c>
      <c r="L30" s="1587" t="s">
        <v>109</v>
      </c>
      <c r="M30" s="1791"/>
      <c r="N30" s="1792"/>
      <c r="O30" s="1785"/>
      <c r="P30" s="1785"/>
      <c r="Q30" s="1785"/>
      <c r="R30" s="1785"/>
      <c r="S30" s="1785"/>
      <c r="T30" s="1785"/>
      <c r="U30" s="1786"/>
      <c r="V30" s="1785"/>
      <c r="W30" s="1785"/>
      <c r="X30" s="520"/>
      <c r="Y30" s="520" t="s">
        <v>119</v>
      </c>
      <c r="Z30" s="520">
        <v>1705000</v>
      </c>
      <c r="AA30" s="520"/>
      <c r="AB30" s="520"/>
      <c r="AC30" s="520"/>
      <c r="AD30" s="520"/>
      <c r="AE30" s="520"/>
      <c r="AF30" s="520"/>
      <c r="AG30" s="520"/>
      <c r="AH30" s="520"/>
      <c r="AI30" s="520"/>
      <c r="AJ30" s="520"/>
      <c r="AK30" s="520"/>
      <c r="AL30" s="520"/>
    </row>
    <row r="31" spans="1:38" s="1753" customFormat="1" ht="15" customHeight="1">
      <c r="U31" s="1783"/>
    </row>
    <row r="32" spans="1:38" s="1753" customFormat="1" ht="15" customHeight="1">
      <c r="U32" s="1783"/>
    </row>
    <row r="33" spans="1:45" s="1754" customFormat="1" ht="11.25" customHeight="1">
      <c r="A33" s="21" t="s">
        <v>1399</v>
      </c>
    </row>
    <row r="34" spans="1:45" s="1753" customFormat="1" ht="11.25" customHeight="1"/>
    <row r="35" spans="1:45" s="1649" customFormat="1" ht="22.5" customHeight="1">
      <c r="A35" s="1793"/>
      <c r="B35" s="1794"/>
      <c r="C35" s="761"/>
      <c r="D35" s="374"/>
      <c r="E35" s="1795"/>
      <c r="F35" s="1796"/>
      <c r="G35" s="727"/>
      <c r="H35" s="1797"/>
    </row>
    <row r="36" spans="1:45" s="1753" customFormat="1" ht="11.25" customHeight="1"/>
    <row r="37" spans="1:45" s="1754" customFormat="1" ht="11.25" customHeight="1">
      <c r="A37" s="21" t="s">
        <v>1400</v>
      </c>
    </row>
    <row r="38" spans="1:45" s="1753" customFormat="1" ht="11.25" customHeight="1"/>
    <row r="39" spans="1:45" s="1649" customFormat="1" ht="22.5" customHeight="1">
      <c r="A39" s="1794"/>
      <c r="B39" s="1794"/>
      <c r="C39" s="387"/>
      <c r="D39" s="374"/>
      <c r="E39" s="1795"/>
      <c r="F39" s="1798"/>
      <c r="G39" s="727"/>
      <c r="H39" s="1797"/>
    </row>
    <row r="40" spans="1:45" s="1753" customFormat="1" ht="17.25" customHeight="1"/>
    <row r="41" spans="1:45" s="1753" customFormat="1" ht="17.25" customHeight="1"/>
    <row r="42" spans="1:45" s="1754" customFormat="1" ht="17.25" customHeight="1">
      <c r="A42" s="21" t="s">
        <v>1401</v>
      </c>
    </row>
    <row r="43" spans="1:45" s="1753" customFormat="1" ht="17.25" customHeight="1"/>
    <row r="44" spans="1:45" s="1653" customFormat="1" ht="18.75" customHeight="1">
      <c r="A44" s="300"/>
      <c r="B44" s="432"/>
      <c r="C44" s="432"/>
      <c r="D44" s="1799"/>
      <c r="E44" s="1800"/>
      <c r="F44" s="1801">
        <v>13</v>
      </c>
      <c r="G44" s="1802"/>
      <c r="H44" s="700"/>
      <c r="I44" s="698"/>
      <c r="J44" s="1803" t="s">
        <v>66</v>
      </c>
      <c r="K44" s="1037" t="s">
        <v>17</v>
      </c>
      <c r="L44" s="300"/>
      <c r="M44" s="439"/>
      <c r="N44" s="439"/>
      <c r="O44" s="439"/>
      <c r="P44" s="1804" t="s">
        <v>386</v>
      </c>
      <c r="Q44" s="444" t="s">
        <v>387</v>
      </c>
      <c r="R44" s="1805" t="s">
        <v>388</v>
      </c>
      <c r="S44" s="439" t="s">
        <v>389</v>
      </c>
      <c r="T44" s="439"/>
      <c r="U44" s="439"/>
      <c r="V44" s="439"/>
    </row>
    <row r="45" spans="1:45" s="1753" customFormat="1" ht="17.25" customHeight="1"/>
    <row r="46" spans="1:45" s="1754" customFormat="1" ht="11.25" customHeight="1">
      <c r="A46" s="21" t="s">
        <v>1402</v>
      </c>
    </row>
    <row r="47" spans="1:45" s="1753" customFormat="1" ht="17.25" customHeight="1"/>
    <row r="48" spans="1:45" s="1846" customFormat="1" ht="14.25" customHeight="1">
      <c r="C48" s="728"/>
      <c r="D48" s="1806"/>
      <c r="E48" s="1807"/>
      <c r="F48" s="1808"/>
      <c r="G48" s="758"/>
      <c r="H48" s="1809"/>
      <c r="I48" s="1809"/>
      <c r="J48" s="1809"/>
      <c r="K48" s="1810"/>
      <c r="L48" s="1811"/>
      <c r="M48" s="1810"/>
      <c r="N48" s="1809"/>
      <c r="O48" s="1810"/>
      <c r="P48" s="1809"/>
      <c r="Q48" s="1810"/>
      <c r="R48" s="1809"/>
      <c r="S48" s="1812"/>
      <c r="T48" s="1809"/>
      <c r="U48" s="1809"/>
      <c r="V48" s="1809"/>
      <c r="W48" s="1813"/>
      <c r="X48" s="1809"/>
      <c r="Y48" s="367"/>
      <c r="Z48" s="367"/>
      <c r="AA48" s="733"/>
      <c r="AB48" s="1809"/>
      <c r="AC48" s="367"/>
      <c r="AD48" s="1813"/>
      <c r="AE48" s="300"/>
      <c r="AF48" s="300"/>
      <c r="AG48" s="300"/>
      <c r="AH48" s="300"/>
      <c r="AJ48" s="439"/>
      <c r="AK48" s="439"/>
      <c r="AL48" s="439"/>
      <c r="AM48" s="439"/>
      <c r="AN48" s="439"/>
      <c r="AO48" s="439"/>
      <c r="AP48" s="428" t="s">
        <v>375</v>
      </c>
      <c r="AQ48" s="428" t="s">
        <v>375</v>
      </c>
      <c r="AR48" s="439"/>
      <c r="AS48" s="439"/>
    </row>
    <row r="49" spans="1:30" s="1753" customFormat="1" ht="17.25" customHeight="1"/>
    <row r="50" spans="1:30" s="1754" customFormat="1" ht="11.25" customHeight="1">
      <c r="A50" s="21" t="s">
        <v>1403</v>
      </c>
    </row>
    <row r="51" spans="1:30" s="1753" customFormat="1" ht="17.25" customHeight="1"/>
    <row r="52" spans="1:30" s="1814" customFormat="1" ht="14.25" customHeight="1">
      <c r="A52" s="74" t="s">
        <v>90</v>
      </c>
      <c r="B52" s="1814" t="s">
        <v>17</v>
      </c>
      <c r="C52" s="57"/>
      <c r="D52" s="1815"/>
      <c r="E52" s="313"/>
      <c r="F52" s="313"/>
      <c r="G52" s="1816"/>
      <c r="H52" s="314"/>
      <c r="I52" s="1817"/>
      <c r="K52" s="1818"/>
      <c r="L52" s="191"/>
    </row>
    <row r="53" spans="1:30" s="1753" customFormat="1" ht="17.25" customHeight="1"/>
    <row r="54" spans="1:30" s="1754" customFormat="1" ht="11.25" customHeight="1">
      <c r="A54" s="21" t="s">
        <v>1404</v>
      </c>
    </row>
    <row r="55" spans="1:30" s="1753" customFormat="1" ht="17.25" customHeight="1"/>
    <row r="56" spans="1:30" s="1846" customFormat="1" ht="14.25" customHeight="1">
      <c r="A56" s="267"/>
      <c r="B56" s="352"/>
      <c r="C56" s="304"/>
      <c r="D56" s="1819"/>
      <c r="E56" s="1820"/>
      <c r="F56" s="314"/>
      <c r="G56" s="300"/>
      <c r="I56" s="428"/>
      <c r="J56" s="428"/>
    </row>
    <row r="57" spans="1:30" s="1753" customFormat="1" ht="17.25" customHeight="1"/>
    <row r="58" spans="1:30" s="1754" customFormat="1" ht="11.25" customHeight="1">
      <c r="A58" s="21" t="s">
        <v>1405</v>
      </c>
    </row>
    <row r="59" spans="1:30" s="1753" customFormat="1" ht="17.25" customHeight="1"/>
    <row r="60" spans="1:30" s="1846" customFormat="1" ht="27" customHeight="1">
      <c r="A60" s="1821"/>
      <c r="B60" s="1821"/>
      <c r="C60" s="1042"/>
      <c r="D60" s="1036"/>
      <c r="E60" s="1822"/>
      <c r="F60" s="2148"/>
      <c r="G60" s="2149"/>
      <c r="H60" s="2150" t="s">
        <v>66</v>
      </c>
      <c r="I60" s="2152"/>
      <c r="J60" s="2154"/>
      <c r="K60" s="2156"/>
      <c r="L60" s="2159"/>
      <c r="M60" s="2159"/>
      <c r="N60" s="2198"/>
      <c r="O60" s="2198"/>
      <c r="P60" s="2199" t="e">
        <f>DATEDIF(DATEVALUE(N60),DATEVALUE(O60),"y")&amp;"г. "&amp;DATEDIF(DATEVALUE(N60),DATEVALUE(O60),"ym")&amp;"мес. "&amp;DATEVALUE(O60)-DATE(YEAR(DATEVALUE(O60)),MONTH(DATEVALUE(O60)),1)&amp;"дн. "</f>
        <v>#VALUE!</v>
      </c>
      <c r="Q60" s="2161"/>
      <c r="R60" s="2161"/>
      <c r="S60" s="2161"/>
      <c r="T60" s="2154"/>
      <c r="U60" s="2161"/>
      <c r="V60" s="2161"/>
      <c r="W60" s="2161"/>
      <c r="X60" s="2154"/>
      <c r="Y60" s="2196" t="s">
        <v>66</v>
      </c>
      <c r="Z60" s="1061"/>
      <c r="AA60" s="1062">
        <v>1</v>
      </c>
      <c r="AB60" s="1823"/>
      <c r="AD60" s="439" t="s">
        <v>1406</v>
      </c>
    </row>
    <row r="61" spans="1:30" s="1846" customFormat="1" ht="10.5" customHeight="1">
      <c r="A61" s="1821"/>
      <c r="B61" s="1821"/>
      <c r="C61" s="1042"/>
      <c r="D61" s="1036"/>
      <c r="E61" s="1824"/>
      <c r="F61" s="2148"/>
      <c r="G61" s="2149"/>
      <c r="H61" s="2151"/>
      <c r="I61" s="2153"/>
      <c r="J61" s="2155"/>
      <c r="K61" s="2156"/>
      <c r="L61" s="2159"/>
      <c r="M61" s="2159"/>
      <c r="N61" s="2198"/>
      <c r="O61" s="2198"/>
      <c r="P61" s="2199"/>
      <c r="Q61" s="2161"/>
      <c r="R61" s="2161"/>
      <c r="S61" s="2161"/>
      <c r="T61" s="2155"/>
      <c r="U61" s="2161"/>
      <c r="V61" s="2161"/>
      <c r="W61" s="2161"/>
      <c r="X61" s="2155"/>
      <c r="Y61" s="2197"/>
      <c r="Z61" s="271"/>
      <c r="AA61" s="499"/>
      <c r="AB61" s="1825" t="s">
        <v>1407</v>
      </c>
    </row>
    <row r="62" spans="1:30" s="1753" customFormat="1" ht="17.25" customHeight="1"/>
    <row r="63" spans="1:30" s="1754" customFormat="1" ht="11.25" customHeight="1">
      <c r="A63" s="21" t="s">
        <v>1408</v>
      </c>
    </row>
    <row r="64" spans="1:30" s="1753" customFormat="1" ht="17.25" customHeight="1"/>
    <row r="65" spans="1:58" s="1846" customFormat="1" ht="27" customHeight="1">
      <c r="A65" s="1042"/>
      <c r="B65" s="1042"/>
      <c r="C65" s="1042"/>
      <c r="D65" s="1036"/>
      <c r="E65" s="1601"/>
      <c r="F65" s="1826"/>
      <c r="G65" s="1827"/>
      <c r="H65" s="1828"/>
      <c r="I65" s="1829"/>
      <c r="J65" s="1830"/>
      <c r="K65" s="1831"/>
      <c r="L65" s="1832"/>
      <c r="M65" s="1832"/>
      <c r="N65" s="1833"/>
      <c r="O65" s="1833"/>
      <c r="P65" s="1834"/>
      <c r="Q65" s="1835"/>
      <c r="R65" s="1835"/>
      <c r="S65" s="1835"/>
      <c r="T65" s="1830"/>
      <c r="U65" s="1835"/>
      <c r="V65" s="1835"/>
      <c r="W65" s="1835"/>
      <c r="X65" s="1830"/>
      <c r="Y65" s="1620"/>
      <c r="Z65" s="1600"/>
      <c r="AA65" s="1599">
        <v>1</v>
      </c>
      <c r="AB65" s="1115"/>
      <c r="AD65" s="1497" t="s">
        <v>1406</v>
      </c>
    </row>
    <row r="66" spans="1:58" s="1753" customFormat="1" ht="17.25" customHeight="1"/>
    <row r="67" spans="1:58" s="1754" customFormat="1" ht="11.25" customHeight="1">
      <c r="A67" s="21" t="s">
        <v>1409</v>
      </c>
    </row>
    <row r="68" spans="1:58" s="1753" customFormat="1" ht="17.25" customHeight="1"/>
    <row r="69" spans="1:58" s="1846" customFormat="1" ht="21" customHeight="1">
      <c r="A69" s="1836"/>
      <c r="B69" s="1821"/>
      <c r="C69" s="1042"/>
      <c r="D69" s="1036"/>
      <c r="E69" s="1046"/>
      <c r="F69" s="1837" t="e">
        <f>INDEX(IP_MAIN_LIST_NAME_IP,MATCH(A69,IP_MAIN_LIST_IP_ID,0))&amp;" ("&amp;INDEX(IP_MAIN_START_DATE,MATCH(A69,IP_MAIN_LIST_IP_ID,0))&amp;"-"&amp;INDEX(IP_MAIN_END_DATE,MATCH(A69,IP_MAIN_LIST_IP_ID,0))&amp;")"</f>
        <v>#N/A</v>
      </c>
      <c r="G69" s="1838"/>
      <c r="H69" s="1838"/>
      <c r="I69" s="1839"/>
      <c r="J69" s="1839"/>
      <c r="K69" s="1840"/>
      <c r="L69" s="1840"/>
      <c r="M69" s="1840"/>
      <c r="N69" s="1841"/>
      <c r="O69" s="1841"/>
      <c r="P69" s="1841"/>
      <c r="Q69" s="1841"/>
      <c r="R69" s="1841"/>
      <c r="S69" s="1841"/>
      <c r="T69" s="1841"/>
      <c r="U69" s="1841"/>
      <c r="V69" s="1841"/>
      <c r="W69" s="1841"/>
      <c r="X69" s="1841"/>
      <c r="Y69" s="1058"/>
      <c r="Z69" s="1058"/>
      <c r="AA69" s="1058"/>
      <c r="AB69" s="1841"/>
      <c r="AC69" s="1058"/>
      <c r="AD69" s="1841"/>
      <c r="AE69" s="1842"/>
      <c r="AF69" s="1840"/>
      <c r="AG69" s="1840"/>
      <c r="AH69" s="1840"/>
      <c r="AI69" s="1840"/>
      <c r="AJ69" s="1840"/>
      <c r="AK69" s="1840"/>
      <c r="AL69" s="1843"/>
      <c r="AM69" s="1033"/>
      <c r="AN69" s="1033"/>
      <c r="AO69" s="1033"/>
      <c r="AP69" s="1033"/>
      <c r="AQ69" s="1033"/>
      <c r="AR69" s="1033"/>
      <c r="AS69" s="1033"/>
      <c r="AT69" s="1033"/>
      <c r="AU69" s="1033"/>
      <c r="AV69" s="1033"/>
      <c r="AW69" s="1033"/>
      <c r="AX69" s="1033"/>
      <c r="AY69" s="1033"/>
      <c r="AZ69" s="1033"/>
      <c r="BA69" s="1033"/>
      <c r="BB69" s="1033"/>
      <c r="BC69" s="1033"/>
      <c r="BD69" s="1033"/>
      <c r="BE69" s="1033"/>
      <c r="BF69" s="1033"/>
    </row>
    <row r="70" spans="1:58" s="1846" customFormat="1" ht="11.25" customHeight="1">
      <c r="A70" s="1821"/>
      <c r="B70" s="1821"/>
      <c r="C70" s="1042"/>
      <c r="D70" s="1036"/>
      <c r="E70" s="1046"/>
      <c r="F70" s="2202"/>
      <c r="G70" s="2160"/>
      <c r="H70" s="2160" t="s">
        <v>109</v>
      </c>
      <c r="I70" s="2206"/>
      <c r="J70" s="2207"/>
      <c r="K70" s="2208"/>
      <c r="L70" s="2200" t="s">
        <v>56</v>
      </c>
      <c r="M70" s="2032"/>
      <c r="N70" s="1844"/>
      <c r="O70" s="1845" t="s">
        <v>370</v>
      </c>
      <c r="P70" s="1844"/>
      <c r="Q70" s="1844"/>
      <c r="R70" s="1844"/>
      <c r="S70" s="1844"/>
      <c r="T70" s="1844"/>
      <c r="U70" s="1844"/>
      <c r="V70" s="1844"/>
      <c r="W70" s="1844"/>
      <c r="X70" s="1844"/>
      <c r="Y70" s="1053"/>
      <c r="Z70" s="1053"/>
      <c r="AA70" s="1053"/>
      <c r="AB70" s="1844"/>
      <c r="AC70" s="1053"/>
      <c r="AD70" s="1844"/>
      <c r="AE70" s="1844"/>
      <c r="AF70" s="2204"/>
      <c r="AG70" s="2200"/>
      <c r="AH70" s="2200"/>
      <c r="AI70" s="2204"/>
      <c r="AJ70" s="2200"/>
      <c r="AK70" s="2200"/>
      <c r="AM70" s="1033"/>
      <c r="AN70" s="1033"/>
      <c r="AO70" s="1033"/>
      <c r="AP70" s="1033"/>
      <c r="AQ70" s="1033"/>
      <c r="AR70" s="1033"/>
      <c r="AS70" s="1033"/>
      <c r="AT70" s="1033"/>
      <c r="AU70" s="1033"/>
      <c r="AV70" s="1033"/>
      <c r="AW70" s="1033"/>
      <c r="AX70" s="1033"/>
      <c r="AY70" s="1033"/>
      <c r="AZ70" s="1033"/>
      <c r="BA70" s="1033"/>
      <c r="BB70" s="1033"/>
      <c r="BC70" s="1033"/>
      <c r="BD70" s="1033"/>
      <c r="BE70" s="1033"/>
      <c r="BF70" s="1033"/>
    </row>
    <row r="71" spans="1:58" s="1846" customFormat="1" ht="11.25" customHeight="1">
      <c r="A71" s="1821"/>
      <c r="B71" s="1821"/>
      <c r="C71" s="1042"/>
      <c r="D71" s="1036"/>
      <c r="E71" s="1046"/>
      <c r="F71" s="2202"/>
      <c r="G71" s="2160"/>
      <c r="H71" s="2160"/>
      <c r="I71" s="2206"/>
      <c r="J71" s="2207"/>
      <c r="K71" s="2208"/>
      <c r="L71" s="2200"/>
      <c r="M71" s="2032"/>
      <c r="N71" s="2209"/>
      <c r="O71" s="2175">
        <v>1</v>
      </c>
      <c r="P71" s="2170" t="s">
        <v>56</v>
      </c>
      <c r="Q71" s="2173" t="s">
        <v>17</v>
      </c>
      <c r="R71" s="2173" t="s">
        <v>17</v>
      </c>
      <c r="S71" s="2173" t="s">
        <v>17</v>
      </c>
      <c r="T71" s="2173" t="s">
        <v>17</v>
      </c>
      <c r="U71" s="2173" t="s">
        <v>17</v>
      </c>
      <c r="V71" s="2173" t="s">
        <v>17</v>
      </c>
      <c r="W71" s="2173" t="s">
        <v>17</v>
      </c>
      <c r="X71" s="2173" t="s">
        <v>17</v>
      </c>
      <c r="Y71" s="2173"/>
      <c r="Z71" s="1050"/>
      <c r="AA71" s="1051"/>
      <c r="AB71" s="1847"/>
      <c r="AC71" s="1661"/>
      <c r="AD71" s="1848"/>
      <c r="AE71" s="1849"/>
      <c r="AF71" s="2204"/>
      <c r="AG71" s="2200"/>
      <c r="AH71" s="2200"/>
      <c r="AI71" s="2204"/>
      <c r="AJ71" s="2200"/>
      <c r="AK71" s="2200"/>
      <c r="AM71" s="1033"/>
      <c r="AN71" s="1033"/>
      <c r="AO71" s="1033"/>
      <c r="AP71" s="1033"/>
      <c r="AQ71" s="1033"/>
      <c r="AR71" s="1033"/>
      <c r="AS71" s="1033"/>
      <c r="AT71" s="1033"/>
      <c r="AU71" s="1033"/>
      <c r="AV71" s="1033"/>
      <c r="AW71" s="1033"/>
      <c r="AX71" s="1033"/>
      <c r="AY71" s="1033"/>
      <c r="AZ71" s="1033"/>
      <c r="BA71" s="1033"/>
      <c r="BB71" s="1033"/>
      <c r="BC71" s="1033"/>
      <c r="BD71" s="1033"/>
      <c r="BE71" s="1033"/>
      <c r="BF71" s="1033"/>
    </row>
    <row r="72" spans="1:58" s="1846" customFormat="1" ht="11.25" customHeight="1">
      <c r="A72" s="1821"/>
      <c r="B72" s="1821"/>
      <c r="C72" s="1042"/>
      <c r="D72" s="1036"/>
      <c r="E72" s="1046"/>
      <c r="F72" s="2202"/>
      <c r="G72" s="2160"/>
      <c r="H72" s="2160"/>
      <c r="I72" s="2206"/>
      <c r="J72" s="2207"/>
      <c r="K72" s="2208"/>
      <c r="L72" s="2200"/>
      <c r="M72" s="2032"/>
      <c r="N72" s="2209"/>
      <c r="O72" s="2175"/>
      <c r="P72" s="2171"/>
      <c r="Q72" s="2173"/>
      <c r="R72" s="2173"/>
      <c r="S72" s="2205"/>
      <c r="T72" s="2173"/>
      <c r="U72" s="2173"/>
      <c r="V72" s="2173"/>
      <c r="W72" s="2173"/>
      <c r="X72" s="2173"/>
      <c r="Y72" s="2173"/>
      <c r="Z72" s="1054"/>
      <c r="AA72" s="1055">
        <v>1</v>
      </c>
      <c r="AB72" s="1850"/>
      <c r="AC72" s="1045"/>
      <c r="AD72" s="1663">
        <f>AB72</f>
        <v>0</v>
      </c>
      <c r="AE72" s="1851"/>
      <c r="AF72" s="2204"/>
      <c r="AG72" s="2200"/>
      <c r="AH72" s="2200"/>
      <c r="AI72" s="2204"/>
      <c r="AJ72" s="2200"/>
      <c r="AK72" s="2200"/>
      <c r="AM72" s="1033"/>
      <c r="AN72" s="1033"/>
      <c r="AO72" s="1033"/>
      <c r="AP72" s="1033"/>
      <c r="AQ72" s="1033"/>
      <c r="AR72" s="1033"/>
      <c r="AS72" s="1033"/>
      <c r="AT72" s="1033"/>
      <c r="AU72" s="1033"/>
      <c r="AV72" s="1033"/>
      <c r="AW72" s="1033"/>
      <c r="AX72" s="1033"/>
      <c r="AY72" s="1033"/>
      <c r="AZ72" s="1033"/>
      <c r="BA72" s="1033"/>
      <c r="BB72" s="1033"/>
      <c r="BC72" s="1033"/>
      <c r="BD72" s="1033"/>
      <c r="BE72" s="1033"/>
      <c r="BF72" s="1033"/>
    </row>
    <row r="73" spans="1:58" s="1846" customFormat="1" ht="11.25" customHeight="1">
      <c r="A73" s="1821"/>
      <c r="B73" s="1821"/>
      <c r="C73" s="1042"/>
      <c r="D73" s="1036"/>
      <c r="E73" s="1046"/>
      <c r="F73" s="2202"/>
      <c r="G73" s="2160"/>
      <c r="H73" s="2160"/>
      <c r="I73" s="2206"/>
      <c r="J73" s="2207"/>
      <c r="K73" s="2208"/>
      <c r="L73" s="2200"/>
      <c r="M73" s="2032"/>
      <c r="N73" s="2209"/>
      <c r="O73" s="2175"/>
      <c r="P73" s="2172"/>
      <c r="Q73" s="2173"/>
      <c r="R73" s="2173"/>
      <c r="S73" s="2205"/>
      <c r="T73" s="2173"/>
      <c r="U73" s="2173"/>
      <c r="V73" s="2173"/>
      <c r="W73" s="2173"/>
      <c r="X73" s="2173"/>
      <c r="Y73" s="2173"/>
      <c r="Z73" s="1050"/>
      <c r="AA73" s="1051"/>
      <c r="AB73" s="1852" t="s">
        <v>1410</v>
      </c>
      <c r="AC73" s="1661"/>
      <c r="AD73" s="1848"/>
      <c r="AE73" s="1853"/>
      <c r="AF73" s="2204"/>
      <c r="AG73" s="2200"/>
      <c r="AH73" s="2200"/>
      <c r="AI73" s="2204"/>
      <c r="AJ73" s="2200"/>
      <c r="AK73" s="2200"/>
      <c r="AM73" s="1033"/>
      <c r="AN73" s="1033"/>
      <c r="AO73" s="1033"/>
      <c r="AP73" s="1033"/>
      <c r="AQ73" s="1033"/>
      <c r="AR73" s="1033"/>
      <c r="AS73" s="1033"/>
      <c r="AT73" s="1033"/>
      <c r="AU73" s="1033"/>
      <c r="AV73" s="1033"/>
      <c r="AW73" s="1033"/>
      <c r="AX73" s="1033"/>
      <c r="AY73" s="1033"/>
      <c r="AZ73" s="1033"/>
      <c r="BA73" s="1033"/>
      <c r="BB73" s="1033"/>
      <c r="BC73" s="1033"/>
      <c r="BD73" s="1033"/>
      <c r="BE73" s="1033"/>
      <c r="BF73" s="1033"/>
    </row>
    <row r="74" spans="1:58" s="1846" customFormat="1" ht="11.25" customHeight="1">
      <c r="A74" s="1821"/>
      <c r="B74" s="1821"/>
      <c r="C74" s="1042"/>
      <c r="D74" s="1036"/>
      <c r="E74" s="1046"/>
      <c r="F74" s="2202"/>
      <c r="G74" s="2160"/>
      <c r="H74" s="2160"/>
      <c r="I74" s="2206"/>
      <c r="J74" s="2207"/>
      <c r="K74" s="2208"/>
      <c r="L74" s="2200"/>
      <c r="M74" s="2032"/>
      <c r="N74" s="1847"/>
      <c r="O74" s="1847"/>
      <c r="P74" s="1854" t="s">
        <v>1411</v>
      </c>
      <c r="Q74" s="1847"/>
      <c r="R74" s="1847"/>
      <c r="S74" s="1847"/>
      <c r="T74" s="1847"/>
      <c r="U74" s="1847"/>
      <c r="V74" s="1847"/>
      <c r="W74" s="1847"/>
      <c r="X74" s="1847"/>
      <c r="Y74" s="1051"/>
      <c r="Z74" s="1051"/>
      <c r="AA74" s="1051"/>
      <c r="AB74" s="1847"/>
      <c r="AC74" s="1051"/>
      <c r="AD74" s="1847"/>
      <c r="AE74" s="1855"/>
      <c r="AF74" s="2204"/>
      <c r="AG74" s="2200"/>
      <c r="AH74" s="2200"/>
      <c r="AI74" s="2204"/>
      <c r="AJ74" s="2200"/>
      <c r="AK74" s="2200"/>
      <c r="AM74" s="1033"/>
      <c r="AN74" s="1033"/>
      <c r="AO74" s="1033"/>
      <c r="AP74" s="1033"/>
      <c r="AQ74" s="1033"/>
      <c r="AR74" s="1033"/>
      <c r="AS74" s="1033"/>
      <c r="AT74" s="1033"/>
      <c r="AU74" s="1033"/>
      <c r="AV74" s="1033"/>
      <c r="AW74" s="1033"/>
      <c r="AX74" s="1033"/>
      <c r="AY74" s="1033"/>
      <c r="AZ74" s="1033"/>
      <c r="BA74" s="1033"/>
      <c r="BB74" s="1033"/>
      <c r="BC74" s="1033"/>
      <c r="BD74" s="1033"/>
      <c r="BE74" s="1033"/>
      <c r="BF74" s="1033"/>
    </row>
    <row r="75" spans="1:58" s="1846" customFormat="1" ht="12" customHeight="1">
      <c r="A75" s="1821"/>
      <c r="B75" s="1821"/>
      <c r="C75" s="1042"/>
      <c r="D75" s="1036"/>
      <c r="E75" s="1046"/>
      <c r="F75" s="2203"/>
      <c r="G75" s="1856"/>
      <c r="H75" s="1856"/>
      <c r="I75" s="2201" t="s">
        <v>1412</v>
      </c>
      <c r="J75" s="2201"/>
      <c r="K75" s="2201"/>
      <c r="L75" s="1857"/>
      <c r="M75" s="1857"/>
      <c r="N75" s="1858"/>
      <c r="O75" s="1858"/>
      <c r="P75" s="1858"/>
      <c r="Q75" s="1858"/>
      <c r="R75" s="1858"/>
      <c r="S75" s="1858"/>
      <c r="T75" s="1858"/>
      <c r="U75" s="1858"/>
      <c r="V75" s="1858"/>
      <c r="W75" s="1858"/>
      <c r="X75" s="1858"/>
      <c r="Y75" s="1049"/>
      <c r="Z75" s="1049"/>
      <c r="AA75" s="1049"/>
      <c r="AB75" s="1858"/>
      <c r="AC75" s="1049"/>
      <c r="AD75" s="1858"/>
      <c r="AE75" s="1858"/>
      <c r="AF75" s="1858"/>
      <c r="AG75" s="1857"/>
      <c r="AH75" s="1857"/>
      <c r="AI75" s="1858"/>
      <c r="AJ75" s="1857"/>
      <c r="AK75" s="1859"/>
      <c r="AM75" s="1033"/>
      <c r="AN75" s="1033"/>
      <c r="AO75" s="1033"/>
      <c r="AP75" s="1033"/>
      <c r="AQ75" s="1033"/>
      <c r="AR75" s="1033"/>
      <c r="AS75" s="1033"/>
      <c r="AT75" s="1033"/>
      <c r="AU75" s="1033"/>
      <c r="AV75" s="1033"/>
      <c r="AW75" s="1033"/>
      <c r="AX75" s="1033"/>
      <c r="AY75" s="1033"/>
      <c r="AZ75" s="1033"/>
      <c r="BA75" s="1033"/>
      <c r="BB75" s="1033"/>
      <c r="BC75" s="1033"/>
      <c r="BD75" s="1033"/>
      <c r="BE75" s="1033"/>
      <c r="BF75" s="1033"/>
    </row>
    <row r="76" spans="1:58" s="1753" customFormat="1" ht="17.25" customHeight="1"/>
    <row r="77" spans="1:58" s="1754" customFormat="1" ht="11.25" customHeight="1">
      <c r="A77" s="21" t="s">
        <v>1413</v>
      </c>
    </row>
    <row r="78" spans="1:58" s="1753" customFormat="1" ht="17.25" customHeight="1"/>
    <row r="79" spans="1:58" s="1846" customFormat="1" ht="11.25" customHeight="1">
      <c r="A79" s="1042"/>
      <c r="B79" s="1042"/>
      <c r="C79" s="1042"/>
      <c r="D79" s="1036"/>
      <c r="E79" s="1046"/>
      <c r="F79" s="1860"/>
      <c r="G79" s="1861"/>
      <c r="H79" s="1861"/>
      <c r="I79" s="1862"/>
      <c r="J79" s="1862"/>
      <c r="K79" s="1863"/>
      <c r="L79" s="1862"/>
      <c r="M79" s="1861"/>
      <c r="N79" s="2174"/>
      <c r="O79" s="2175">
        <v>1</v>
      </c>
      <c r="P79" s="2170" t="s">
        <v>56</v>
      </c>
      <c r="Q79" s="2173" t="s">
        <v>17</v>
      </c>
      <c r="R79" s="2173" t="s">
        <v>17</v>
      </c>
      <c r="S79" s="2173" t="s">
        <v>17</v>
      </c>
      <c r="T79" s="2173" t="s">
        <v>17</v>
      </c>
      <c r="U79" s="2173" t="s">
        <v>17</v>
      </c>
      <c r="V79" s="2173" t="s">
        <v>17</v>
      </c>
      <c r="W79" s="2173" t="s">
        <v>17</v>
      </c>
      <c r="X79" s="2173" t="s">
        <v>17</v>
      </c>
      <c r="Y79" s="2173"/>
      <c r="Z79" s="1050"/>
      <c r="AA79" s="1051"/>
      <c r="AB79" s="1051"/>
      <c r="AC79" s="1661"/>
      <c r="AD79" s="1661"/>
      <c r="AE79" s="1661"/>
      <c r="AF79" s="1864"/>
      <c r="AG79" s="1865"/>
      <c r="AH79" s="1865"/>
      <c r="AI79" s="1864"/>
      <c r="AJ79" s="1865"/>
      <c r="AK79" s="1865"/>
      <c r="AL79" s="1048"/>
      <c r="AM79" s="1033"/>
      <c r="AN79" s="1033"/>
      <c r="AO79" s="1033"/>
      <c r="AP79" s="1033"/>
      <c r="AQ79" s="1033"/>
      <c r="AR79" s="1033"/>
      <c r="AS79" s="1033"/>
      <c r="AT79" s="1033"/>
      <c r="AU79" s="1033"/>
      <c r="AV79" s="1033"/>
      <c r="AW79" s="1033"/>
      <c r="AX79" s="1033"/>
      <c r="AY79" s="1033"/>
      <c r="AZ79" s="1033"/>
      <c r="BA79" s="1033"/>
      <c r="BB79" s="1033"/>
      <c r="BC79" s="1033"/>
      <c r="BD79" s="1033"/>
      <c r="BE79" s="1033"/>
      <c r="BF79" s="1033"/>
    </row>
    <row r="80" spans="1:58" s="1846" customFormat="1" ht="11.25" customHeight="1">
      <c r="A80" s="1042"/>
      <c r="B80" s="1042"/>
      <c r="C80" s="1042"/>
      <c r="D80" s="1036"/>
      <c r="E80" s="1046"/>
      <c r="F80" s="1860"/>
      <c r="G80" s="1861"/>
      <c r="H80" s="1861"/>
      <c r="I80" s="1866"/>
      <c r="J80" s="1866"/>
      <c r="K80" s="1863"/>
      <c r="L80" s="1866"/>
      <c r="M80" s="1861"/>
      <c r="N80" s="2174"/>
      <c r="O80" s="2175"/>
      <c r="P80" s="2171"/>
      <c r="Q80" s="2173"/>
      <c r="R80" s="2173"/>
      <c r="S80" s="2205"/>
      <c r="T80" s="2173"/>
      <c r="U80" s="2173"/>
      <c r="V80" s="2173"/>
      <c r="W80" s="2173"/>
      <c r="X80" s="2173"/>
      <c r="Y80" s="2173"/>
      <c r="Z80" s="1054"/>
      <c r="AA80" s="1617">
        <v>1</v>
      </c>
      <c r="AB80" s="1663"/>
      <c r="AC80" s="1045"/>
      <c r="AD80" s="1663">
        <f>AB80</f>
        <v>0</v>
      </c>
      <c r="AE80" s="1867"/>
      <c r="AF80" s="1863"/>
      <c r="AG80" s="1865"/>
      <c r="AH80" s="1865"/>
      <c r="AI80" s="1863"/>
      <c r="AJ80" s="1865"/>
      <c r="AK80" s="1865"/>
      <c r="AL80" s="1048"/>
      <c r="AM80" s="1033"/>
      <c r="AN80" s="1033"/>
      <c r="AO80" s="1033"/>
      <c r="AP80" s="1033"/>
      <c r="AQ80" s="1033"/>
      <c r="AR80" s="1033"/>
      <c r="AS80" s="1033"/>
      <c r="AT80" s="1033"/>
      <c r="AU80" s="1033"/>
      <c r="AV80" s="1033"/>
      <c r="AW80" s="1033"/>
      <c r="AX80" s="1033"/>
      <c r="AY80" s="1033"/>
      <c r="AZ80" s="1033"/>
      <c r="BA80" s="1033"/>
      <c r="BB80" s="1033"/>
      <c r="BC80" s="1033"/>
      <c r="BD80" s="1033"/>
      <c r="BE80" s="1033"/>
      <c r="BF80" s="1033"/>
    </row>
    <row r="81" spans="1:58" s="1846" customFormat="1" ht="11.25" customHeight="1">
      <c r="A81" s="1042"/>
      <c r="B81" s="1042"/>
      <c r="C81" s="1042"/>
      <c r="D81" s="1036"/>
      <c r="E81" s="1046"/>
      <c r="F81" s="1860"/>
      <c r="G81" s="1861"/>
      <c r="H81" s="1861"/>
      <c r="I81" s="1868"/>
      <c r="J81" s="1868"/>
      <c r="K81" s="1863"/>
      <c r="L81" s="1868"/>
      <c r="M81" s="1861"/>
      <c r="N81" s="2174"/>
      <c r="O81" s="2175"/>
      <c r="P81" s="2172"/>
      <c r="Q81" s="2173"/>
      <c r="R81" s="2173"/>
      <c r="S81" s="2205"/>
      <c r="T81" s="2173"/>
      <c r="U81" s="2173"/>
      <c r="V81" s="2173"/>
      <c r="W81" s="2173"/>
      <c r="X81" s="2173"/>
      <c r="Y81" s="2173"/>
      <c r="Z81" s="1050"/>
      <c r="AA81" s="1051"/>
      <c r="AB81" s="1114" t="s">
        <v>1410</v>
      </c>
      <c r="AC81" s="1661"/>
      <c r="AD81" s="1661"/>
      <c r="AE81" s="1661"/>
      <c r="AF81" s="1869"/>
      <c r="AG81" s="1865"/>
      <c r="AH81" s="1865"/>
      <c r="AI81" s="1869"/>
      <c r="AJ81" s="1865"/>
      <c r="AK81" s="1865"/>
      <c r="AL81" s="1048"/>
      <c r="AM81" s="1033"/>
      <c r="AN81" s="1033"/>
      <c r="AO81" s="1033"/>
      <c r="AP81" s="1033"/>
      <c r="AQ81" s="1033"/>
      <c r="AR81" s="1033"/>
      <c r="AS81" s="1033"/>
      <c r="AT81" s="1033"/>
      <c r="AU81" s="1033"/>
      <c r="AV81" s="1033"/>
      <c r="AW81" s="1033"/>
      <c r="AX81" s="1033"/>
      <c r="AY81" s="1033"/>
      <c r="AZ81" s="1033"/>
      <c r="BA81" s="1033"/>
      <c r="BB81" s="1033"/>
      <c r="BC81" s="1033"/>
      <c r="BD81" s="1033"/>
      <c r="BE81" s="1033"/>
      <c r="BF81" s="1033"/>
    </row>
    <row r="82" spans="1:58" s="1753" customFormat="1" ht="17.25" customHeight="1"/>
    <row r="83" spans="1:58" s="1754" customFormat="1" ht="11.25" customHeight="1">
      <c r="A83" s="21" t="s">
        <v>1414</v>
      </c>
    </row>
    <row r="84" spans="1:58" s="1753" customFormat="1" ht="17.25" customHeight="1"/>
    <row r="85" spans="1:58" s="1846" customFormat="1" ht="11.25" customHeight="1">
      <c r="A85" s="1042"/>
      <c r="B85" s="1042"/>
      <c r="C85" s="1042"/>
      <c r="D85" s="1036"/>
      <c r="E85" s="1046"/>
      <c r="F85" s="300"/>
      <c r="G85" s="300"/>
      <c r="H85" s="300"/>
      <c r="I85" s="300"/>
      <c r="J85" s="300"/>
      <c r="K85" s="300"/>
      <c r="L85" s="300"/>
      <c r="M85" s="300"/>
      <c r="N85" s="300"/>
      <c r="O85" s="300"/>
      <c r="P85" s="300"/>
      <c r="Q85" s="300"/>
      <c r="R85" s="300"/>
      <c r="S85" s="300"/>
      <c r="T85" s="300"/>
      <c r="U85" s="300"/>
      <c r="V85" s="300"/>
      <c r="W85" s="300"/>
      <c r="X85" s="300"/>
      <c r="Y85" s="300"/>
      <c r="Z85" s="1054"/>
      <c r="AA85" s="1617">
        <v>1</v>
      </c>
      <c r="AB85" s="1663"/>
      <c r="AC85" s="1045"/>
      <c r="AD85" s="1663">
        <f>AB85</f>
        <v>0</v>
      </c>
      <c r="AE85" s="1045"/>
      <c r="AF85" s="1863"/>
      <c r="AG85" s="1865"/>
      <c r="AH85" s="1865"/>
      <c r="AI85" s="1863"/>
      <c r="AJ85" s="1865"/>
      <c r="AK85" s="1865"/>
      <c r="AL85" s="1048"/>
      <c r="AM85" s="1033"/>
      <c r="AN85" s="1033"/>
      <c r="AO85" s="1033"/>
      <c r="AP85" s="1033"/>
      <c r="AQ85" s="1033"/>
      <c r="AR85" s="1033"/>
      <c r="AS85" s="1033"/>
      <c r="AT85" s="1033"/>
      <c r="AU85" s="1033"/>
      <c r="AV85" s="1033"/>
      <c r="AW85" s="1033"/>
      <c r="AX85" s="1033"/>
      <c r="AY85" s="1033"/>
      <c r="AZ85" s="1033"/>
      <c r="BA85" s="1033"/>
      <c r="BB85" s="1033"/>
      <c r="BC85" s="1033"/>
      <c r="BD85" s="1033"/>
      <c r="BE85" s="1033"/>
      <c r="BF85" s="1033"/>
    </row>
    <row r="86" spans="1:58" s="1753" customFormat="1" ht="17.25" customHeight="1"/>
    <row r="87" spans="1:58" s="1754" customFormat="1" ht="11.25" customHeight="1">
      <c r="A87" s="21" t="s">
        <v>1415</v>
      </c>
    </row>
    <row r="88" spans="1:58" s="1753" customFormat="1" ht="17.25" customHeight="1"/>
    <row r="89" spans="1:58" s="1846" customFormat="1" ht="11.25" customHeight="1">
      <c r="A89" s="1042"/>
      <c r="B89" s="1042"/>
      <c r="C89" s="1042"/>
      <c r="D89" s="1036"/>
      <c r="E89" s="1046"/>
      <c r="F89" s="1860"/>
      <c r="G89" s="1861"/>
      <c r="H89" s="2160" t="s">
        <v>109</v>
      </c>
      <c r="I89" s="2206"/>
      <c r="J89" s="2207"/>
      <c r="K89" s="2208"/>
      <c r="L89" s="2200" t="s">
        <v>56</v>
      </c>
      <c r="M89" s="2032"/>
      <c r="N89" s="1053"/>
      <c r="O89" s="1052" t="s">
        <v>370</v>
      </c>
      <c r="P89" s="1053"/>
      <c r="Q89" s="1053"/>
      <c r="R89" s="1053"/>
      <c r="S89" s="1053"/>
      <c r="T89" s="1053"/>
      <c r="U89" s="1053"/>
      <c r="V89" s="1053"/>
      <c r="W89" s="1053"/>
      <c r="X89" s="1053"/>
      <c r="Y89" s="1053"/>
      <c r="Z89" s="1053"/>
      <c r="AA89" s="1053"/>
      <c r="AB89" s="1053"/>
      <c r="AC89" s="1053"/>
      <c r="AD89" s="1053"/>
      <c r="AE89" s="1053"/>
      <c r="AF89" s="2204"/>
      <c r="AG89" s="2200"/>
      <c r="AH89" s="2200"/>
      <c r="AI89" s="2204"/>
      <c r="AJ89" s="2200"/>
      <c r="AK89" s="2200"/>
      <c r="AL89" s="1048"/>
      <c r="AM89" s="1033"/>
      <c r="AN89" s="1033"/>
      <c r="AO89" s="1033"/>
      <c r="AP89" s="1033"/>
      <c r="AQ89" s="1033"/>
      <c r="AR89" s="1033"/>
      <c r="AS89" s="1033"/>
      <c r="AT89" s="1033"/>
      <c r="AU89" s="1033"/>
      <c r="AV89" s="1033"/>
      <c r="AW89" s="1033"/>
      <c r="AX89" s="1033"/>
      <c r="AY89" s="1033"/>
      <c r="AZ89" s="1033"/>
      <c r="BA89" s="1033"/>
      <c r="BB89" s="1033"/>
      <c r="BC89" s="1033"/>
      <c r="BD89" s="1033"/>
      <c r="BE89" s="1033"/>
      <c r="BF89" s="1033"/>
    </row>
    <row r="90" spans="1:58" s="1846" customFormat="1" ht="11.25" customHeight="1">
      <c r="A90" s="1042"/>
      <c r="B90" s="1042"/>
      <c r="C90" s="1042"/>
      <c r="D90" s="1036"/>
      <c r="E90" s="1046"/>
      <c r="F90" s="1860"/>
      <c r="G90" s="1861"/>
      <c r="H90" s="2160"/>
      <c r="I90" s="2206"/>
      <c r="J90" s="2207"/>
      <c r="K90" s="2208"/>
      <c r="L90" s="2200"/>
      <c r="M90" s="2032"/>
      <c r="N90" s="2209"/>
      <c r="O90" s="2175">
        <v>1</v>
      </c>
      <c r="P90" s="2170" t="s">
        <v>56</v>
      </c>
      <c r="Q90" s="2173" t="s">
        <v>17</v>
      </c>
      <c r="R90" s="2173" t="s">
        <v>17</v>
      </c>
      <c r="S90" s="2173" t="s">
        <v>17</v>
      </c>
      <c r="T90" s="2173" t="s">
        <v>17</v>
      </c>
      <c r="U90" s="2173" t="s">
        <v>17</v>
      </c>
      <c r="V90" s="2173" t="s">
        <v>17</v>
      </c>
      <c r="W90" s="2173" t="s">
        <v>17</v>
      </c>
      <c r="X90" s="2173" t="s">
        <v>17</v>
      </c>
      <c r="Y90" s="2173"/>
      <c r="Z90" s="1050"/>
      <c r="AA90" s="1051"/>
      <c r="AB90" s="1051"/>
      <c r="AC90" s="1661"/>
      <c r="AD90" s="1661"/>
      <c r="AE90" s="1662"/>
      <c r="AF90" s="2204"/>
      <c r="AG90" s="2200"/>
      <c r="AH90" s="2200"/>
      <c r="AI90" s="2204"/>
      <c r="AJ90" s="2200"/>
      <c r="AK90" s="2200"/>
      <c r="AL90" s="1048"/>
      <c r="AM90" s="1033"/>
      <c r="AN90" s="1033"/>
      <c r="AO90" s="1033"/>
      <c r="AP90" s="1033"/>
      <c r="AQ90" s="1033"/>
      <c r="AR90" s="1033"/>
      <c r="AS90" s="1033"/>
      <c r="AT90" s="1033"/>
      <c r="AU90" s="1033"/>
      <c r="AV90" s="1033"/>
      <c r="AW90" s="1033"/>
      <c r="AX90" s="1033"/>
      <c r="AY90" s="1033"/>
      <c r="AZ90" s="1033"/>
      <c r="BA90" s="1033"/>
      <c r="BB90" s="1033"/>
      <c r="BC90" s="1033"/>
      <c r="BD90" s="1033"/>
      <c r="BE90" s="1033"/>
      <c r="BF90" s="1033"/>
    </row>
    <row r="91" spans="1:58" s="1846" customFormat="1" ht="11.25" customHeight="1">
      <c r="A91" s="1042"/>
      <c r="B91" s="1042"/>
      <c r="C91" s="1042"/>
      <c r="D91" s="1036"/>
      <c r="E91" s="1046"/>
      <c r="F91" s="1860"/>
      <c r="G91" s="1861"/>
      <c r="H91" s="2160"/>
      <c r="I91" s="2206"/>
      <c r="J91" s="2207"/>
      <c r="K91" s="2208"/>
      <c r="L91" s="2200"/>
      <c r="M91" s="2032"/>
      <c r="N91" s="2209"/>
      <c r="O91" s="2175"/>
      <c r="P91" s="2171"/>
      <c r="Q91" s="2173"/>
      <c r="R91" s="2173"/>
      <c r="S91" s="2205"/>
      <c r="T91" s="2173"/>
      <c r="U91" s="2173"/>
      <c r="V91" s="2173"/>
      <c r="W91" s="2173"/>
      <c r="X91" s="2173"/>
      <c r="Y91" s="2173"/>
      <c r="Z91" s="1054"/>
      <c r="AA91" s="1617">
        <v>1</v>
      </c>
      <c r="AB91" s="1663"/>
      <c r="AC91" s="1045"/>
      <c r="AD91" s="1663">
        <f>AB91</f>
        <v>0</v>
      </c>
      <c r="AE91" s="1045"/>
      <c r="AF91" s="2204"/>
      <c r="AG91" s="2200"/>
      <c r="AH91" s="2200"/>
      <c r="AI91" s="2204"/>
      <c r="AJ91" s="2200"/>
      <c r="AK91" s="2200"/>
      <c r="AL91" s="1048"/>
      <c r="AM91" s="1033"/>
      <c r="AN91" s="1033"/>
      <c r="AO91" s="1033"/>
      <c r="AP91" s="1033"/>
      <c r="AQ91" s="1033"/>
      <c r="AR91" s="1033"/>
      <c r="AS91" s="1033"/>
      <c r="AT91" s="1033"/>
      <c r="AU91" s="1033"/>
      <c r="AV91" s="1033"/>
      <c r="AW91" s="1033"/>
      <c r="AX91" s="1033"/>
      <c r="AY91" s="1033"/>
      <c r="AZ91" s="1033"/>
      <c r="BA91" s="1033"/>
      <c r="BB91" s="1033"/>
      <c r="BC91" s="1033"/>
      <c r="BD91" s="1033"/>
      <c r="BE91" s="1033"/>
      <c r="BF91" s="1033"/>
    </row>
    <row r="92" spans="1:58" s="1846" customFormat="1" ht="11.25" customHeight="1">
      <c r="A92" s="1042"/>
      <c r="B92" s="1042"/>
      <c r="C92" s="1042"/>
      <c r="D92" s="1036"/>
      <c r="E92" s="1046"/>
      <c r="F92" s="1860"/>
      <c r="G92" s="1861"/>
      <c r="H92" s="2160"/>
      <c r="I92" s="2206"/>
      <c r="J92" s="2207"/>
      <c r="K92" s="2208"/>
      <c r="L92" s="2200"/>
      <c r="M92" s="2032"/>
      <c r="N92" s="2209"/>
      <c r="O92" s="2175"/>
      <c r="P92" s="2172"/>
      <c r="Q92" s="2173"/>
      <c r="R92" s="2173"/>
      <c r="S92" s="2205"/>
      <c r="T92" s="2173"/>
      <c r="U92" s="2173"/>
      <c r="V92" s="2173"/>
      <c r="W92" s="2173"/>
      <c r="X92" s="2173"/>
      <c r="Y92" s="2173"/>
      <c r="Z92" s="1050"/>
      <c r="AA92" s="1051"/>
      <c r="AB92" s="1114" t="s">
        <v>1410</v>
      </c>
      <c r="AC92" s="1661"/>
      <c r="AD92" s="1661"/>
      <c r="AE92" s="1664"/>
      <c r="AF92" s="2204"/>
      <c r="AG92" s="2200"/>
      <c r="AH92" s="2200"/>
      <c r="AI92" s="2204"/>
      <c r="AJ92" s="2200"/>
      <c r="AK92" s="2200"/>
      <c r="AL92" s="1048"/>
      <c r="AM92" s="1033"/>
      <c r="AN92" s="1033"/>
      <c r="AO92" s="1033"/>
      <c r="AP92" s="1033"/>
      <c r="AQ92" s="1033"/>
      <c r="AR92" s="1033"/>
      <c r="AS92" s="1033"/>
      <c r="AT92" s="1033"/>
      <c r="AU92" s="1033"/>
      <c r="AV92" s="1033"/>
      <c r="AW92" s="1033"/>
      <c r="AX92" s="1033"/>
      <c r="AY92" s="1033"/>
      <c r="AZ92" s="1033"/>
      <c r="BA92" s="1033"/>
      <c r="BB92" s="1033"/>
      <c r="BC92" s="1033"/>
      <c r="BD92" s="1033"/>
      <c r="BE92" s="1033"/>
      <c r="BF92" s="1033"/>
    </row>
    <row r="93" spans="1:58" s="1846" customFormat="1" ht="11.25" customHeight="1">
      <c r="A93" s="1042"/>
      <c r="B93" s="1042"/>
      <c r="C93" s="1042"/>
      <c r="D93" s="1036"/>
      <c r="E93" s="1046"/>
      <c r="F93" s="1860"/>
      <c r="G93" s="1861"/>
      <c r="H93" s="2160"/>
      <c r="I93" s="2206"/>
      <c r="J93" s="2207"/>
      <c r="K93" s="2208"/>
      <c r="L93" s="2200"/>
      <c r="M93" s="2032"/>
      <c r="N93" s="1051"/>
      <c r="O93" s="1051"/>
      <c r="P93" s="1044" t="s">
        <v>1411</v>
      </c>
      <c r="Q93" s="1051"/>
      <c r="R93" s="1051"/>
      <c r="S93" s="1051"/>
      <c r="T93" s="1051"/>
      <c r="U93" s="1051"/>
      <c r="V93" s="1051"/>
      <c r="W93" s="1051"/>
      <c r="X93" s="1051"/>
      <c r="Y93" s="1051"/>
      <c r="Z93" s="1051"/>
      <c r="AA93" s="1051"/>
      <c r="AB93" s="1051"/>
      <c r="AC93" s="1051"/>
      <c r="AD93" s="1051"/>
      <c r="AE93" s="1056"/>
      <c r="AF93" s="2204"/>
      <c r="AG93" s="2200"/>
      <c r="AH93" s="2200"/>
      <c r="AI93" s="2204"/>
      <c r="AJ93" s="2200"/>
      <c r="AK93" s="2200"/>
      <c r="AL93" s="1048"/>
      <c r="AM93" s="1033"/>
      <c r="AN93" s="1033"/>
      <c r="AO93" s="1033"/>
      <c r="AP93" s="1033"/>
      <c r="AQ93" s="1033"/>
      <c r="AR93" s="1033"/>
      <c r="AS93" s="1033"/>
      <c r="AT93" s="1033"/>
      <c r="AU93" s="1033"/>
      <c r="AV93" s="1033"/>
      <c r="AW93" s="1033"/>
      <c r="AX93" s="1033"/>
      <c r="AY93" s="1033"/>
      <c r="AZ93" s="1033"/>
      <c r="BA93" s="1033"/>
      <c r="BB93" s="1033"/>
      <c r="BC93" s="1033"/>
      <c r="BD93" s="1033"/>
      <c r="BE93" s="1033"/>
      <c r="BF93" s="1033"/>
    </row>
    <row r="94" spans="1:58" s="1753" customFormat="1" ht="17.25" customHeight="1"/>
    <row r="95" spans="1:58" s="1754" customFormat="1" ht="11.25" customHeight="1">
      <c r="A95" s="21" t="s">
        <v>1416</v>
      </c>
    </row>
    <row r="96" spans="1:58" s="1753" customFormat="1" ht="17.25" customHeight="1"/>
    <row r="97" spans="1:184" s="1871" customFormat="1" ht="21" customHeight="1">
      <c r="A97" s="1043"/>
      <c r="B97" s="1870"/>
      <c r="E97" s="1872" t="s">
        <v>17</v>
      </c>
      <c r="F97" s="1873" t="e">
        <f>INDEX(IP_MAIN_LIST_NAME_IP,MATCH(A97,IP_MAIN_LIST_IP_ID,0))&amp;" ("&amp;INDEX(IP_MAIN_START_DATE,MATCH(A97,IP_MAIN_LIST_IP_ID,0))&amp;"-"&amp;INDEX(IP_MAIN_END_DATE,MATCH(A97,IP_MAIN_LIST_IP_ID,0))&amp;")"</f>
        <v>#N/A</v>
      </c>
      <c r="G97" s="1874"/>
      <c r="H97" s="1875"/>
      <c r="I97" s="1875"/>
      <c r="J97" s="1875"/>
      <c r="K97" s="1875"/>
      <c r="L97" s="1875"/>
      <c r="M97" s="1875"/>
      <c r="N97" s="1875"/>
      <c r="O97" s="1874"/>
      <c r="P97" s="1874"/>
      <c r="Q97" s="1874"/>
      <c r="R97" s="1874"/>
      <c r="S97" s="1874"/>
      <c r="T97" s="1874"/>
      <c r="U97" s="1876"/>
      <c r="V97" s="1876"/>
      <c r="W97" s="1876"/>
      <c r="X97" s="1876"/>
      <c r="Y97" s="1076"/>
      <c r="Z97" s="1076"/>
      <c r="AA97" s="1076"/>
      <c r="AB97" s="1874"/>
      <c r="AC97" s="1075"/>
      <c r="AD97" s="1875"/>
      <c r="AE97" s="1875"/>
      <c r="AF97" s="1875"/>
      <c r="AG97" s="1875"/>
      <c r="AH97" s="1875"/>
      <c r="AI97" s="1875"/>
      <c r="AJ97" s="1875"/>
      <c r="AK97" s="1875"/>
      <c r="AL97" s="1875"/>
      <c r="AM97" s="1875"/>
      <c r="AN97" s="1875"/>
      <c r="AO97" s="1875"/>
      <c r="AP97" s="1875"/>
      <c r="AQ97" s="1875"/>
      <c r="AR97" s="1875"/>
      <c r="AS97" s="1875"/>
      <c r="AT97" s="1875"/>
      <c r="AU97" s="1875"/>
      <c r="AV97" s="1875"/>
      <c r="AW97" s="1875"/>
      <c r="AX97" s="1875"/>
      <c r="AY97" s="1875"/>
      <c r="AZ97" s="1875"/>
      <c r="BA97" s="1875"/>
      <c r="BB97" s="1875"/>
      <c r="BC97" s="1875"/>
      <c r="BD97" s="1875"/>
      <c r="BE97" s="1875"/>
      <c r="BF97" s="1875"/>
      <c r="BG97" s="1875"/>
      <c r="BH97" s="1875"/>
      <c r="BI97" s="1875"/>
      <c r="BJ97" s="1875"/>
      <c r="BK97" s="1875"/>
      <c r="BL97" s="1875"/>
      <c r="BM97" s="1875"/>
      <c r="BN97" s="1875"/>
      <c r="BO97" s="1875"/>
      <c r="BP97" s="1875"/>
      <c r="BQ97" s="1875"/>
      <c r="BR97" s="1875"/>
      <c r="BS97" s="1875"/>
      <c r="BT97" s="1875"/>
      <c r="BU97" s="1875"/>
      <c r="BV97" s="1875"/>
      <c r="BW97" s="1875"/>
      <c r="BX97" s="1875"/>
      <c r="BY97" s="1875"/>
      <c r="BZ97" s="1875"/>
      <c r="CA97" s="1875"/>
      <c r="CB97" s="1875"/>
      <c r="CC97" s="1875"/>
      <c r="CD97" s="1875"/>
      <c r="CE97" s="1875"/>
      <c r="CF97" s="1875"/>
      <c r="CG97" s="1875"/>
      <c r="CH97" s="1875"/>
      <c r="CI97" s="1875"/>
      <c r="CJ97" s="1875"/>
      <c r="CK97" s="1875"/>
      <c r="CL97" s="1877"/>
      <c r="CM97" s="1077"/>
      <c r="CN97" s="1077"/>
      <c r="CO97" s="1077"/>
      <c r="CP97" s="1077"/>
      <c r="CQ97" s="1077"/>
      <c r="CR97" s="1077"/>
      <c r="CS97" s="1077"/>
      <c r="CT97" s="1077"/>
      <c r="CU97" s="1077"/>
      <c r="CV97" s="1077"/>
      <c r="CW97" s="1077"/>
      <c r="CX97" s="1077"/>
      <c r="CY97" s="1077"/>
      <c r="CZ97" s="1077"/>
      <c r="DA97" s="1077"/>
      <c r="DB97" s="1077"/>
      <c r="DC97" s="1077"/>
      <c r="DD97" s="1077"/>
      <c r="DE97" s="1077"/>
      <c r="DF97" s="1077"/>
      <c r="DG97" s="1077"/>
      <c r="DH97" s="1077"/>
      <c r="DI97" s="1077"/>
      <c r="DJ97" s="1077"/>
      <c r="DK97" s="1077"/>
      <c r="DL97" s="1077"/>
      <c r="DM97" s="1077"/>
      <c r="DN97" s="1077"/>
      <c r="DO97" s="1077"/>
      <c r="DP97" s="1077"/>
      <c r="DQ97" s="1077"/>
      <c r="DR97" s="1077"/>
      <c r="DS97" s="1077"/>
      <c r="DT97" s="1077"/>
      <c r="DU97" s="1077"/>
      <c r="DV97" s="1077"/>
      <c r="DW97" s="1077"/>
      <c r="DX97" s="1077"/>
      <c r="DY97" s="1077"/>
      <c r="DZ97" s="1077"/>
      <c r="EA97" s="1077"/>
      <c r="EB97" s="1077"/>
      <c r="EC97" s="1077"/>
      <c r="ED97" s="1077"/>
      <c r="EE97" s="1077"/>
      <c r="EF97" s="1077"/>
      <c r="EG97" s="1077"/>
      <c r="EH97" s="1077"/>
      <c r="EI97" s="1077"/>
      <c r="EJ97" s="1077"/>
      <c r="EK97" s="1077"/>
      <c r="EL97" s="1077"/>
      <c r="EM97" s="1077"/>
      <c r="EN97" s="1077"/>
      <c r="EO97" s="1077"/>
      <c r="EP97" s="1077"/>
      <c r="EQ97" s="1077"/>
      <c r="ER97" s="1077"/>
      <c r="ES97" s="1077"/>
      <c r="ET97" s="1077"/>
      <c r="EU97" s="1077"/>
      <c r="EV97" s="1077"/>
      <c r="EW97" s="1077"/>
      <c r="EX97" s="1077"/>
      <c r="EY97" s="1077"/>
      <c r="EZ97" s="1077"/>
      <c r="FA97" s="1077"/>
      <c r="FB97" s="1077"/>
      <c r="FC97" s="1077"/>
      <c r="FD97" s="1077"/>
      <c r="FE97" s="1077"/>
      <c r="FF97" s="1077"/>
      <c r="FG97" s="1077"/>
      <c r="FH97" s="1077"/>
      <c r="FI97" s="1077"/>
      <c r="FJ97" s="1077"/>
      <c r="FK97" s="1077"/>
      <c r="FL97" s="1077"/>
      <c r="FM97" s="1077"/>
      <c r="FN97" s="1077"/>
      <c r="FO97" s="1077"/>
      <c r="FP97" s="1077"/>
      <c r="FQ97" s="1077"/>
      <c r="FR97" s="1077"/>
      <c r="FS97" s="1077"/>
      <c r="FT97" s="1077"/>
      <c r="FU97" s="1077"/>
      <c r="FV97" s="1078"/>
      <c r="FW97" s="1073"/>
      <c r="FX97" s="1074"/>
    </row>
    <row r="98" spans="1:184" s="1871" customFormat="1" ht="24.75" customHeight="1">
      <c r="B98" s="823"/>
      <c r="C98" s="824"/>
      <c r="E98" s="1060"/>
      <c r="F98" s="1079">
        <v>1</v>
      </c>
      <c r="G98" s="1878"/>
      <c r="H98" s="1879"/>
      <c r="I98" s="1880"/>
      <c r="J98" s="1881"/>
      <c r="K98" s="1881"/>
      <c r="L98" s="1881"/>
      <c r="M98" s="1881"/>
      <c r="N98" s="1881"/>
      <c r="O98" s="1882"/>
      <c r="P98" s="1882"/>
      <c r="Q98" s="1882"/>
      <c r="R98" s="1882"/>
      <c r="S98" s="1882"/>
      <c r="T98" s="1882"/>
      <c r="U98" s="1882"/>
      <c r="V98" s="1882"/>
      <c r="W98" s="1882"/>
      <c r="X98" s="1882"/>
      <c r="Y98" s="1081"/>
      <c r="Z98" s="1081"/>
      <c r="AA98" s="1081"/>
      <c r="AB98" s="1882"/>
      <c r="AC98" s="1080"/>
      <c r="AD98" s="1881"/>
      <c r="AE98" s="1881"/>
      <c r="AF98" s="1881"/>
      <c r="AG98" s="1881"/>
      <c r="AH98" s="1881"/>
      <c r="AI98" s="1881"/>
      <c r="AJ98" s="1881"/>
      <c r="AK98" s="1881"/>
      <c r="AL98" s="1881"/>
      <c r="AM98" s="1881"/>
      <c r="AN98" s="1881"/>
      <c r="AO98" s="1881"/>
      <c r="AP98" s="1881"/>
      <c r="AQ98" s="1881"/>
      <c r="AR98" s="1881"/>
      <c r="AS98" s="1881"/>
      <c r="AT98" s="1881"/>
      <c r="AU98" s="1881"/>
      <c r="AV98" s="1881"/>
      <c r="AW98" s="1881"/>
      <c r="AX98" s="1881"/>
      <c r="AY98" s="1881"/>
      <c r="AZ98" s="1881"/>
      <c r="BA98" s="1881"/>
      <c r="BB98" s="1881"/>
      <c r="BC98" s="1881"/>
      <c r="BD98" s="1881"/>
      <c r="BE98" s="1881"/>
      <c r="BF98" s="1881"/>
      <c r="BG98" s="1881"/>
      <c r="BH98" s="1881"/>
      <c r="BI98" s="1881"/>
      <c r="BJ98" s="1881"/>
      <c r="BK98" s="1881"/>
      <c r="BL98" s="1881"/>
      <c r="BM98" s="1881"/>
      <c r="BN98" s="1881"/>
      <c r="BO98" s="1881"/>
      <c r="BP98" s="1881"/>
      <c r="BQ98" s="1881"/>
      <c r="BR98" s="1881"/>
      <c r="BS98" s="1881"/>
      <c r="BT98" s="1883"/>
      <c r="BU98" s="1883"/>
      <c r="BV98" s="1883"/>
      <c r="BW98" s="1883"/>
      <c r="BX98" s="1883"/>
      <c r="BY98" s="1883"/>
      <c r="BZ98" s="1883"/>
      <c r="CA98" s="1883"/>
      <c r="CB98" s="1883"/>
      <c r="CC98" s="1883"/>
      <c r="CD98" s="1883"/>
      <c r="CE98" s="1883"/>
      <c r="CF98" s="1883"/>
      <c r="CG98" s="1883"/>
      <c r="CH98" s="1883"/>
      <c r="CI98" s="1883"/>
      <c r="CJ98" s="1883"/>
      <c r="CK98" s="1883"/>
      <c r="CL98" s="1881"/>
      <c r="CM98" s="1080"/>
      <c r="CN98" s="1080"/>
      <c r="CO98" s="1080"/>
      <c r="CP98" s="1080"/>
      <c r="CQ98" s="1080"/>
      <c r="CR98" s="1080"/>
      <c r="CS98" s="1080"/>
      <c r="CT98" s="1080"/>
      <c r="CU98" s="1080"/>
      <c r="CV98" s="1080"/>
      <c r="CW98" s="1080"/>
      <c r="CX98" s="1080"/>
      <c r="CY98" s="1081"/>
      <c r="CZ98" s="1081"/>
      <c r="DA98" s="1081"/>
      <c r="DB98" s="1081"/>
      <c r="DC98" s="1081"/>
      <c r="DD98" s="1081"/>
      <c r="DE98" s="1081"/>
      <c r="DF98" s="1081"/>
      <c r="DG98" s="1081"/>
      <c r="DH98" s="1081"/>
      <c r="DI98" s="1081"/>
      <c r="DJ98" s="1081"/>
      <c r="DK98" s="1080"/>
      <c r="DL98" s="1080"/>
      <c r="DM98" s="1080"/>
      <c r="DN98" s="1080"/>
      <c r="DO98" s="1080"/>
      <c r="DP98" s="1080"/>
      <c r="DQ98" s="1080"/>
      <c r="DR98" s="1080"/>
      <c r="DS98" s="1080"/>
      <c r="DT98" s="1080"/>
      <c r="DU98" s="1080"/>
      <c r="DV98" s="1080"/>
      <c r="DW98" s="1080"/>
      <c r="DX98" s="1080"/>
      <c r="DY98" s="1080"/>
      <c r="DZ98" s="1080"/>
      <c r="EA98" s="1080"/>
      <c r="EB98" s="1080"/>
      <c r="EC98" s="1080"/>
      <c r="ED98" s="1080"/>
      <c r="EE98" s="1080"/>
      <c r="EF98" s="1080"/>
      <c r="EG98" s="1080"/>
      <c r="EH98" s="1080"/>
      <c r="EI98" s="1080"/>
      <c r="EJ98" s="1080"/>
      <c r="EK98" s="1080"/>
      <c r="EL98" s="1080"/>
      <c r="EM98" s="1080"/>
      <c r="EN98" s="1080"/>
      <c r="EO98" s="1080"/>
      <c r="EP98" s="1080"/>
      <c r="EQ98" s="1080"/>
      <c r="ER98" s="1080"/>
      <c r="ES98" s="1080"/>
      <c r="ET98" s="1080"/>
      <c r="EU98" s="1080"/>
      <c r="EV98" s="1080"/>
      <c r="EW98" s="1080"/>
      <c r="EX98" s="1080"/>
      <c r="EY98" s="1080"/>
      <c r="EZ98" s="1080"/>
      <c r="FA98" s="1080"/>
      <c r="FB98" s="1080"/>
      <c r="FC98" s="1080"/>
      <c r="FD98" s="1080"/>
      <c r="FE98" s="1080"/>
      <c r="FF98" s="1080"/>
      <c r="FG98" s="1080"/>
      <c r="FH98" s="1080"/>
      <c r="FI98" s="1080"/>
      <c r="FJ98" s="1080"/>
      <c r="FK98" s="1080"/>
      <c r="FL98" s="1080"/>
      <c r="FM98" s="1080"/>
      <c r="FN98" s="1080"/>
      <c r="FO98" s="1080"/>
      <c r="FP98" s="1080"/>
      <c r="FQ98" s="1080"/>
      <c r="FR98" s="1080"/>
      <c r="FS98" s="1080"/>
      <c r="FT98" s="1080"/>
      <c r="FU98" s="1080"/>
      <c r="FV98" s="1080"/>
      <c r="FW98" s="1080"/>
      <c r="FX98" s="1074"/>
    </row>
    <row r="99" spans="1:184" s="1871" customFormat="1" ht="12" customHeight="1">
      <c r="B99" s="823"/>
      <c r="C99" s="824"/>
      <c r="F99" s="1884"/>
      <c r="G99" s="1885" t="s">
        <v>1417</v>
      </c>
      <c r="H99" s="1886"/>
      <c r="I99" s="1886"/>
      <c r="J99" s="1886"/>
      <c r="K99" s="1886"/>
      <c r="L99" s="1886"/>
      <c r="M99" s="1886"/>
      <c r="N99" s="1886"/>
      <c r="O99" s="1886"/>
      <c r="P99" s="1886"/>
      <c r="Q99" s="1886"/>
      <c r="R99" s="1886"/>
      <c r="S99" s="1886"/>
      <c r="T99" s="1886"/>
      <c r="U99" s="1886"/>
      <c r="V99" s="1886"/>
      <c r="W99" s="1886"/>
      <c r="X99" s="1886"/>
      <c r="Y99" s="1082"/>
      <c r="Z99" s="1082"/>
      <c r="AA99" s="1082"/>
      <c r="AB99" s="1886"/>
      <c r="AC99" s="1082"/>
      <c r="AD99" s="1886"/>
      <c r="AE99" s="1886"/>
      <c r="AF99" s="1886"/>
      <c r="AG99" s="1886"/>
      <c r="AH99" s="1886"/>
      <c r="AI99" s="1886"/>
      <c r="AJ99" s="1886"/>
      <c r="AK99" s="1886"/>
      <c r="AL99" s="1886"/>
      <c r="AM99" s="1886"/>
      <c r="AN99" s="1886"/>
      <c r="AO99" s="1886"/>
      <c r="AP99" s="1886"/>
      <c r="AQ99" s="1886"/>
      <c r="AR99" s="1886"/>
      <c r="AS99" s="1886"/>
      <c r="AT99" s="1886"/>
      <c r="AU99" s="1886"/>
      <c r="AV99" s="1886"/>
      <c r="AW99" s="1886"/>
      <c r="AX99" s="1886"/>
      <c r="AY99" s="1886"/>
      <c r="AZ99" s="1886"/>
      <c r="BA99" s="1886"/>
      <c r="BB99" s="1886"/>
      <c r="BC99" s="1886"/>
      <c r="BD99" s="1886"/>
      <c r="BE99" s="1886"/>
      <c r="BF99" s="1886"/>
      <c r="BG99" s="1886"/>
      <c r="BH99" s="1886"/>
      <c r="BI99" s="1886"/>
      <c r="BJ99" s="1886"/>
      <c r="BK99" s="1886"/>
      <c r="BL99" s="1886"/>
      <c r="BM99" s="1886"/>
      <c r="BN99" s="1886"/>
      <c r="BO99" s="1886"/>
      <c r="BP99" s="1886"/>
      <c r="BQ99" s="1886"/>
      <c r="BR99" s="1886"/>
      <c r="BS99" s="1886"/>
      <c r="BT99" s="1886"/>
      <c r="BU99" s="1886"/>
      <c r="BV99" s="1886"/>
      <c r="BW99" s="1886"/>
      <c r="BX99" s="1886"/>
      <c r="BY99" s="1886"/>
      <c r="BZ99" s="1886"/>
      <c r="CA99" s="1886"/>
      <c r="CB99" s="1886"/>
      <c r="CC99" s="1886"/>
      <c r="CD99" s="1886"/>
      <c r="CE99" s="1886"/>
      <c r="CF99" s="1886"/>
      <c r="CG99" s="1886"/>
      <c r="CH99" s="1886"/>
      <c r="CI99" s="1886"/>
      <c r="CJ99" s="1886"/>
      <c r="CK99" s="1886"/>
      <c r="CL99" s="1886"/>
      <c r="CM99" s="1082"/>
      <c r="CN99" s="1082"/>
      <c r="CO99" s="1082"/>
      <c r="CP99" s="1082"/>
      <c r="CQ99" s="1082"/>
      <c r="CR99" s="1082"/>
      <c r="CS99" s="1082"/>
      <c r="CT99" s="1082"/>
      <c r="CU99" s="1082"/>
      <c r="CV99" s="1082"/>
      <c r="CW99" s="1082"/>
      <c r="CX99" s="1082"/>
      <c r="CY99" s="1082"/>
      <c r="CZ99" s="1082"/>
      <c r="DA99" s="1082"/>
      <c r="DB99" s="1082"/>
      <c r="DC99" s="1082"/>
      <c r="DD99" s="1082"/>
      <c r="DE99" s="1082"/>
      <c r="DF99" s="1082"/>
      <c r="DG99" s="1082"/>
      <c r="DH99" s="1082"/>
      <c r="DI99" s="1082"/>
      <c r="DJ99" s="1082"/>
      <c r="DK99" s="1082"/>
      <c r="DL99" s="1082"/>
      <c r="DM99" s="1082"/>
      <c r="DN99" s="1082"/>
      <c r="DO99" s="1082"/>
      <c r="DP99" s="1082"/>
      <c r="DQ99" s="1082"/>
      <c r="DR99" s="1082"/>
      <c r="DS99" s="1082"/>
      <c r="DT99" s="1082"/>
      <c r="DU99" s="1082"/>
      <c r="DV99" s="1082"/>
      <c r="DW99" s="1082"/>
      <c r="DX99" s="1082"/>
      <c r="DY99" s="1082"/>
      <c r="DZ99" s="1082"/>
      <c r="EA99" s="1082"/>
      <c r="EB99" s="1082"/>
      <c r="EC99" s="1082"/>
      <c r="ED99" s="1082"/>
      <c r="EE99" s="1082"/>
      <c r="EF99" s="1082"/>
      <c r="EG99" s="1082"/>
      <c r="EH99" s="1082"/>
      <c r="EI99" s="1082"/>
      <c r="EJ99" s="1082"/>
      <c r="EK99" s="1082"/>
      <c r="EL99" s="1082"/>
      <c r="EM99" s="1082"/>
      <c r="EN99" s="1082"/>
      <c r="EO99" s="1082"/>
      <c r="EP99" s="1082"/>
      <c r="EQ99" s="1082"/>
      <c r="ER99" s="1082"/>
      <c r="ES99" s="1082"/>
      <c r="ET99" s="1082"/>
      <c r="EU99" s="1082"/>
      <c r="EV99" s="1082"/>
      <c r="EW99" s="1082"/>
      <c r="EX99" s="1082"/>
      <c r="EY99" s="1082"/>
      <c r="EZ99" s="1082"/>
      <c r="FA99" s="1082"/>
      <c r="FB99" s="1082"/>
      <c r="FC99" s="1082"/>
      <c r="FD99" s="1082"/>
      <c r="FE99" s="1082"/>
      <c r="FF99" s="1082"/>
      <c r="FG99" s="1082"/>
      <c r="FH99" s="1082"/>
      <c r="FI99" s="1082"/>
      <c r="FJ99" s="1082"/>
      <c r="FK99" s="1082"/>
      <c r="FL99" s="1082"/>
      <c r="FM99" s="1082"/>
      <c r="FN99" s="1082"/>
      <c r="FO99" s="1082"/>
      <c r="FP99" s="1082"/>
      <c r="FQ99" s="1082"/>
      <c r="FR99" s="1082"/>
      <c r="FS99" s="1082"/>
      <c r="FT99" s="1082"/>
      <c r="FU99" s="1082"/>
      <c r="FV99" s="1082"/>
      <c r="FW99" s="1083"/>
      <c r="FX99" s="1084"/>
      <c r="FY99" s="838"/>
      <c r="FZ99" s="838"/>
      <c r="GA99" s="838"/>
      <c r="GB99" s="838"/>
    </row>
    <row r="100" spans="1:184" s="1753" customFormat="1" ht="17.25" customHeight="1"/>
    <row r="101" spans="1:184" s="1754" customFormat="1" ht="11.25" customHeight="1">
      <c r="A101" s="21" t="s">
        <v>1418</v>
      </c>
    </row>
    <row r="102" spans="1:184" s="1753" customFormat="1" ht="17.25" customHeight="1"/>
    <row r="103" spans="1:184" s="1753" customFormat="1" ht="15" customHeight="1">
      <c r="A103" s="1887"/>
      <c r="B103" s="546"/>
      <c r="C103" s="546"/>
      <c r="D103" s="2163" t="s">
        <v>109</v>
      </c>
      <c r="E103" s="2166" t="s">
        <v>105</v>
      </c>
      <c r="F103" s="2167"/>
      <c r="G103" s="2168"/>
      <c r="H103" s="2169" t="str">
        <f>IF(A103="","",INDEX(DIFFERENTIATION_UNMERGE_VD,MATCH(A103,DIFFERENTIATION_ID_DIFF,0)))</f>
        <v/>
      </c>
      <c r="I103" s="2169"/>
      <c r="J103" s="2169"/>
      <c r="K103" s="2169"/>
      <c r="L103" s="2169"/>
      <c r="M103" s="2169"/>
      <c r="N103" s="2169"/>
      <c r="O103" s="2169"/>
      <c r="P103" s="2169"/>
      <c r="Q103" s="2169"/>
      <c r="R103" s="2169"/>
      <c r="S103" s="1888"/>
      <c r="T103" s="1889"/>
      <c r="U103" s="547"/>
      <c r="V103" s="547"/>
      <c r="W103" s="548"/>
      <c r="X103" s="548"/>
      <c r="Y103" s="548"/>
      <c r="Z103" s="548"/>
      <c r="AA103" s="549"/>
      <c r="AB103" s="550"/>
      <c r="AC103" s="2178"/>
      <c r="AD103" s="551"/>
      <c r="AE103" s="1890" t="s">
        <v>17</v>
      </c>
      <c r="AF103" s="552"/>
      <c r="AG103" s="1891" t="s">
        <v>1419</v>
      </c>
      <c r="AH103" s="1892">
        <v>3</v>
      </c>
      <c r="AI103" s="547"/>
      <c r="AJ103" s="547"/>
      <c r="AK103" s="547"/>
      <c r="AL103" s="547"/>
      <c r="AM103" s="547"/>
      <c r="AN103" s="547"/>
      <c r="AO103" s="547"/>
      <c r="AP103" s="547"/>
      <c r="AQ103" s="547"/>
      <c r="AR103" s="547"/>
      <c r="AS103" s="547"/>
      <c r="AT103" s="547"/>
      <c r="AU103" s="547"/>
      <c r="AV103" s="547"/>
      <c r="AW103" s="547"/>
      <c r="AX103" s="547"/>
      <c r="AY103" s="547"/>
      <c r="AZ103" s="547"/>
      <c r="BA103" s="547"/>
      <c r="BB103" s="547"/>
      <c r="BC103" s="547"/>
      <c r="BD103" s="547"/>
      <c r="BE103" s="547"/>
      <c r="BF103" s="547"/>
      <c r="BG103" s="547"/>
      <c r="BH103" s="547"/>
      <c r="BI103" s="547"/>
      <c r="BJ103" s="547"/>
      <c r="BK103" s="547"/>
      <c r="BL103" s="547"/>
      <c r="BM103" s="547"/>
      <c r="BN103" s="547"/>
      <c r="BO103" s="547"/>
      <c r="BP103" s="547"/>
      <c r="BQ103" s="547"/>
      <c r="BR103" s="547"/>
      <c r="BS103" s="547"/>
      <c r="BT103" s="547"/>
      <c r="BU103" s="547"/>
      <c r="BV103" s="548"/>
      <c r="BW103" s="548"/>
      <c r="BX103" s="548"/>
      <c r="BY103" s="548"/>
      <c r="BZ103" s="548"/>
      <c r="CA103" s="548"/>
      <c r="CB103" s="548"/>
      <c r="CC103" s="548"/>
      <c r="CD103" s="548"/>
      <c r="CE103" s="548"/>
    </row>
    <row r="104" spans="1:184" s="1753" customFormat="1" ht="15" customHeight="1">
      <c r="A104" s="1887"/>
      <c r="B104" s="546"/>
      <c r="C104" s="546"/>
      <c r="D104" s="2164"/>
      <c r="E104" s="2166" t="s">
        <v>1420</v>
      </c>
      <c r="F104" s="2167"/>
      <c r="G104" s="2168"/>
      <c r="H104" s="2169" t="str">
        <f>IF(A103="","",INDEX(DIFFERENTIATION_UNMERGE_AREA,MATCH(A103,DIFFERENTIATION_ID_DIFF,0)))</f>
        <v/>
      </c>
      <c r="I104" s="2169"/>
      <c r="J104" s="2169"/>
      <c r="K104" s="2169"/>
      <c r="L104" s="2169"/>
      <c r="M104" s="2169"/>
      <c r="N104" s="2169"/>
      <c r="O104" s="2169"/>
      <c r="P104" s="2169"/>
      <c r="Q104" s="2169"/>
      <c r="R104" s="2169"/>
      <c r="S104" s="1888"/>
      <c r="T104" s="1889"/>
      <c r="U104" s="547"/>
      <c r="V104" s="547"/>
      <c r="W104" s="548"/>
      <c r="X104" s="548"/>
      <c r="Y104" s="548"/>
      <c r="Z104" s="548"/>
      <c r="AA104" s="549"/>
      <c r="AB104" s="550"/>
      <c r="AC104" s="2178"/>
      <c r="AD104" s="551"/>
      <c r="AE104" s="552"/>
      <c r="AF104" s="552"/>
      <c r="AG104" s="553"/>
      <c r="AH104" s="554"/>
      <c r="AI104" s="547"/>
      <c r="AJ104" s="547"/>
      <c r="AK104" s="547"/>
      <c r="AL104" s="547"/>
      <c r="AM104" s="547"/>
      <c r="AN104" s="547"/>
      <c r="AO104" s="547"/>
      <c r="AP104" s="547"/>
      <c r="AQ104" s="547"/>
      <c r="AR104" s="547"/>
      <c r="AS104" s="547"/>
      <c r="AT104" s="547"/>
      <c r="AU104" s="547"/>
      <c r="AV104" s="547"/>
      <c r="AW104" s="547"/>
      <c r="AX104" s="547"/>
      <c r="AY104" s="547"/>
      <c r="AZ104" s="547"/>
      <c r="BA104" s="547"/>
      <c r="BB104" s="547"/>
      <c r="BC104" s="547"/>
      <c r="BD104" s="547"/>
      <c r="BE104" s="547"/>
      <c r="BF104" s="547"/>
      <c r="BG104" s="547"/>
      <c r="BH104" s="547"/>
      <c r="BI104" s="547"/>
      <c r="BJ104" s="547"/>
      <c r="BK104" s="547"/>
      <c r="BL104" s="547"/>
      <c r="BM104" s="547"/>
      <c r="BN104" s="547"/>
      <c r="BO104" s="547"/>
      <c r="BP104" s="547"/>
      <c r="BQ104" s="547"/>
      <c r="BR104" s="547"/>
      <c r="BS104" s="547"/>
      <c r="BT104" s="547"/>
      <c r="BU104" s="547"/>
      <c r="BV104" s="548"/>
      <c r="BW104" s="548"/>
      <c r="BX104" s="548"/>
      <c r="BY104" s="548"/>
      <c r="BZ104" s="548"/>
      <c r="CA104" s="548"/>
      <c r="CB104" s="548"/>
      <c r="CC104" s="548"/>
      <c r="CD104" s="548"/>
      <c r="CE104" s="548"/>
    </row>
    <row r="105" spans="1:184" s="1753" customFormat="1" ht="15" customHeight="1">
      <c r="A105" s="1887"/>
      <c r="B105" s="546"/>
      <c r="C105" s="546"/>
      <c r="D105" s="2164"/>
      <c r="E105" s="2166" t="s">
        <v>1421</v>
      </c>
      <c r="F105" s="2167"/>
      <c r="G105" s="2168"/>
      <c r="H105" s="2169" t="str">
        <f>IF(A103="","",INDEX(DIFFERENTIATION_UNMERGE_SYSTEM,MATCH(A103,DIFFERENTIATION_ID_DIFF,0)))</f>
        <v/>
      </c>
      <c r="I105" s="2169"/>
      <c r="J105" s="2169"/>
      <c r="K105" s="2169"/>
      <c r="L105" s="2169"/>
      <c r="M105" s="2169"/>
      <c r="N105" s="2169"/>
      <c r="O105" s="2169"/>
      <c r="P105" s="2169"/>
      <c r="Q105" s="2169"/>
      <c r="R105" s="2169"/>
      <c r="S105" s="1888"/>
      <c r="T105" s="1889"/>
      <c r="U105" s="547"/>
      <c r="V105" s="547"/>
      <c r="W105" s="548"/>
      <c r="X105" s="548"/>
      <c r="Y105" s="548"/>
      <c r="Z105" s="548"/>
      <c r="AA105" s="549"/>
      <c r="AB105" s="550"/>
      <c r="AC105" s="2178"/>
      <c r="AD105" s="551"/>
      <c r="AE105" s="552"/>
      <c r="AF105" s="552"/>
      <c r="AG105" s="553"/>
      <c r="AH105" s="554"/>
      <c r="AI105" s="547"/>
      <c r="AJ105" s="547"/>
      <c r="AK105" s="547"/>
      <c r="AL105" s="547"/>
      <c r="AM105" s="547"/>
      <c r="AN105" s="547"/>
      <c r="AO105" s="547"/>
      <c r="AP105" s="547"/>
      <c r="AQ105" s="547"/>
      <c r="AR105" s="547"/>
      <c r="AS105" s="547"/>
      <c r="AT105" s="547"/>
      <c r="AU105" s="547"/>
      <c r="AV105" s="547"/>
      <c r="AW105" s="547"/>
      <c r="AX105" s="547"/>
      <c r="AY105" s="547"/>
      <c r="AZ105" s="547"/>
      <c r="BA105" s="547"/>
      <c r="BB105" s="547"/>
      <c r="BC105" s="547"/>
      <c r="BD105" s="547"/>
      <c r="BE105" s="547"/>
      <c r="BF105" s="547"/>
      <c r="BG105" s="547"/>
      <c r="BH105" s="547"/>
      <c r="BI105" s="547"/>
      <c r="BJ105" s="547"/>
      <c r="BK105" s="547"/>
      <c r="BL105" s="547"/>
      <c r="BM105" s="547"/>
      <c r="BN105" s="547"/>
      <c r="BO105" s="547"/>
      <c r="BP105" s="547"/>
      <c r="BQ105" s="547"/>
      <c r="BR105" s="547"/>
      <c r="BS105" s="547"/>
      <c r="BT105" s="547"/>
      <c r="BU105" s="547"/>
      <c r="BV105" s="548"/>
      <c r="BW105" s="548"/>
      <c r="BX105" s="548"/>
      <c r="BY105" s="548"/>
      <c r="BZ105" s="548"/>
      <c r="CA105" s="548"/>
      <c r="CB105" s="548"/>
      <c r="CC105" s="548"/>
      <c r="CD105" s="548"/>
      <c r="CE105" s="548"/>
    </row>
    <row r="106" spans="1:184" s="1753" customFormat="1" ht="24.75" customHeight="1">
      <c r="A106" s="555"/>
      <c r="B106" s="352"/>
      <c r="C106" s="347"/>
      <c r="D106" s="2164"/>
      <c r="E106" s="2184" t="s">
        <v>1422</v>
      </c>
      <c r="F106" s="2184"/>
      <c r="G106" s="2184"/>
      <c r="H106" s="2184"/>
      <c r="I106" s="2184"/>
      <c r="J106" s="2184"/>
      <c r="K106" s="2184"/>
      <c r="L106" s="2184"/>
      <c r="M106" s="2184"/>
      <c r="N106" s="2184"/>
      <c r="O106" s="2184"/>
      <c r="P106" s="2184"/>
      <c r="Q106" s="1893">
        <f>SUMIF(T107:T108,"i",Q107:Q108)</f>
        <v>0</v>
      </c>
      <c r="R106" s="1894"/>
      <c r="S106" s="1895" t="s">
        <v>1423</v>
      </c>
      <c r="T106" s="631" t="s">
        <v>1424</v>
      </c>
      <c r="U106" s="2157">
        <v>1</v>
      </c>
      <c r="V106" s="2157" t="s">
        <v>1425</v>
      </c>
      <c r="W106" s="352"/>
      <c r="X106" s="352"/>
      <c r="Y106" s="352"/>
      <c r="Z106" s="352"/>
      <c r="AA106" s="439"/>
      <c r="AB106" s="352"/>
      <c r="AC106" s="2178"/>
      <c r="AD106" s="551"/>
      <c r="AE106" s="352"/>
      <c r="AF106" s="352"/>
      <c r="AG106" s="439"/>
      <c r="AH106" s="439"/>
      <c r="AI106" s="439"/>
      <c r="AJ106" s="439"/>
      <c r="AK106" s="439"/>
      <c r="AL106" s="439"/>
      <c r="AM106" s="439"/>
      <c r="AN106" s="439"/>
      <c r="AO106" s="439"/>
      <c r="AP106" s="439"/>
      <c r="AQ106" s="439"/>
      <c r="AR106" s="439"/>
      <c r="AS106" s="439"/>
      <c r="AT106" s="439"/>
      <c r="AU106" s="439"/>
      <c r="AV106" s="439"/>
      <c r="AW106" s="439"/>
      <c r="AX106" s="439"/>
      <c r="AY106" s="439"/>
      <c r="AZ106" s="439"/>
      <c r="BA106" s="439"/>
      <c r="BB106" s="439"/>
      <c r="BC106" s="439"/>
      <c r="BD106" s="439"/>
      <c r="BE106" s="439"/>
      <c r="BF106" s="439"/>
      <c r="BG106" s="439"/>
      <c r="BH106" s="439"/>
      <c r="BI106" s="439"/>
      <c r="BJ106" s="439"/>
      <c r="BK106" s="439"/>
      <c r="BL106" s="439"/>
      <c r="BM106" s="439"/>
      <c r="BN106" s="439"/>
      <c r="BO106" s="439"/>
      <c r="BP106" s="439"/>
      <c r="BQ106" s="439"/>
      <c r="BR106" s="439"/>
      <c r="BS106" s="439"/>
      <c r="BT106" s="439"/>
      <c r="BU106" s="439"/>
      <c r="BV106" s="352"/>
      <c r="BW106" s="352"/>
      <c r="BX106" s="352"/>
      <c r="BY106" s="352"/>
      <c r="BZ106" s="352"/>
      <c r="CA106" s="352"/>
      <c r="CB106" s="352"/>
      <c r="CC106" s="352"/>
      <c r="CD106" s="352"/>
      <c r="CE106" s="352"/>
    </row>
    <row r="107" spans="1:184" s="1753" customFormat="1" ht="11.25" hidden="1" customHeight="1">
      <c r="A107" s="801"/>
      <c r="B107" s="439"/>
      <c r="C107" s="439"/>
      <c r="D107" s="2164"/>
      <c r="E107" s="1896"/>
      <c r="F107" s="557">
        <v>0</v>
      </c>
      <c r="G107" s="1896"/>
      <c r="H107" s="1896"/>
      <c r="I107" s="1896"/>
      <c r="J107" s="1896"/>
      <c r="K107" s="1896"/>
      <c r="L107" s="1896"/>
      <c r="M107" s="1896"/>
      <c r="N107" s="1896"/>
      <c r="O107" s="1896"/>
      <c r="P107" s="1896"/>
      <c r="Q107" s="1896"/>
      <c r="R107" s="1896"/>
      <c r="S107" s="1897"/>
      <c r="T107" s="1898"/>
      <c r="U107" s="2157"/>
      <c r="V107" s="2157"/>
      <c r="W107" s="439"/>
      <c r="X107" s="439"/>
      <c r="Y107" s="439"/>
      <c r="Z107" s="439"/>
      <c r="AA107" s="439"/>
      <c r="AB107" s="352"/>
      <c r="AC107" s="2178"/>
      <c r="AD107" s="551"/>
      <c r="AE107" s="352"/>
      <c r="AF107" s="352"/>
      <c r="AG107" s="439"/>
      <c r="AH107" s="439"/>
      <c r="AI107" s="439"/>
      <c r="AJ107" s="439"/>
      <c r="AK107" s="439"/>
      <c r="AL107" s="439"/>
      <c r="AM107" s="439"/>
      <c r="AN107" s="439"/>
      <c r="AO107" s="439"/>
      <c r="AP107" s="439"/>
      <c r="AQ107" s="439"/>
      <c r="AR107" s="439"/>
      <c r="AS107" s="439"/>
      <c r="AT107" s="439"/>
      <c r="AU107" s="439"/>
      <c r="AV107" s="439"/>
      <c r="AW107" s="439"/>
      <c r="AX107" s="439"/>
      <c r="AY107" s="439"/>
      <c r="AZ107" s="439"/>
      <c r="BA107" s="439"/>
      <c r="BB107" s="439"/>
      <c r="BC107" s="439"/>
      <c r="BD107" s="439"/>
      <c r="BE107" s="439"/>
      <c r="BF107" s="439"/>
      <c r="BG107" s="439"/>
      <c r="BH107" s="439"/>
      <c r="BI107" s="439"/>
      <c r="BJ107" s="439"/>
      <c r="BK107" s="439"/>
      <c r="BL107" s="439"/>
      <c r="BM107" s="439"/>
      <c r="BN107" s="439"/>
      <c r="BO107" s="439"/>
      <c r="BP107" s="439"/>
      <c r="BQ107" s="439"/>
      <c r="BR107" s="439"/>
      <c r="BS107" s="439"/>
      <c r="BT107" s="439"/>
      <c r="BU107" s="439"/>
      <c r="BV107" s="439"/>
      <c r="BW107" s="439"/>
      <c r="BX107" s="439"/>
      <c r="BY107" s="439"/>
      <c r="BZ107" s="439"/>
      <c r="CA107" s="439"/>
      <c r="CB107" s="439"/>
      <c r="CC107" s="439"/>
      <c r="CD107" s="439"/>
      <c r="CE107" s="439"/>
    </row>
    <row r="108" spans="1:184" s="1753" customFormat="1" ht="11.25" customHeight="1">
      <c r="A108" s="555"/>
      <c r="B108" s="352"/>
      <c r="C108" s="347"/>
      <c r="D108" s="2164"/>
      <c r="E108" s="1899" t="s">
        <v>17</v>
      </c>
      <c r="F108" s="1900" t="s">
        <v>17</v>
      </c>
      <c r="G108" s="567" t="s">
        <v>1426</v>
      </c>
      <c r="H108" s="1901" t="s">
        <v>17</v>
      </c>
      <c r="I108" s="568"/>
      <c r="J108" s="568"/>
      <c r="K108" s="568"/>
      <c r="L108" s="568"/>
      <c r="M108" s="568"/>
      <c r="N108" s="568"/>
      <c r="O108" s="568"/>
      <c r="P108" s="568"/>
      <c r="Q108" s="568"/>
      <c r="R108" s="569"/>
      <c r="S108" s="1902"/>
      <c r="T108" s="1898"/>
      <c r="U108" s="2157"/>
      <c r="V108" s="2157"/>
      <c r="W108" s="352"/>
      <c r="X108" s="352"/>
      <c r="Y108" s="352"/>
      <c r="Z108" s="352"/>
      <c r="AA108" s="439"/>
      <c r="AB108" s="352"/>
      <c r="AC108" s="2178"/>
      <c r="AD108" s="551"/>
      <c r="AE108" s="352"/>
      <c r="AF108" s="352"/>
      <c r="AG108" s="439"/>
      <c r="AH108" s="439"/>
      <c r="AI108" s="439"/>
      <c r="AJ108" s="439"/>
      <c r="AK108" s="439"/>
      <c r="AL108" s="439"/>
      <c r="AM108" s="439"/>
      <c r="AN108" s="439"/>
      <c r="AO108" s="439"/>
      <c r="AP108" s="439"/>
      <c r="AQ108" s="439"/>
      <c r="AR108" s="439"/>
      <c r="AS108" s="439"/>
      <c r="AT108" s="439"/>
      <c r="AU108" s="439"/>
      <c r="AV108" s="439"/>
      <c r="AW108" s="439"/>
      <c r="AX108" s="439"/>
      <c r="AY108" s="439"/>
      <c r="AZ108" s="439"/>
      <c r="BA108" s="439"/>
      <c r="BB108" s="439"/>
      <c r="BC108" s="439"/>
      <c r="BD108" s="439"/>
      <c r="BE108" s="439"/>
      <c r="BF108" s="439"/>
      <c r="BG108" s="439"/>
      <c r="BH108" s="439"/>
      <c r="BI108" s="439"/>
      <c r="BJ108" s="439"/>
      <c r="BK108" s="439"/>
      <c r="BL108" s="439"/>
      <c r="BM108" s="439"/>
      <c r="BN108" s="439"/>
      <c r="BO108" s="439"/>
      <c r="BP108" s="439"/>
      <c r="BQ108" s="439"/>
      <c r="BR108" s="439"/>
      <c r="BS108" s="439"/>
      <c r="BT108" s="439"/>
      <c r="BU108" s="439"/>
      <c r="BV108" s="352"/>
      <c r="BW108" s="352"/>
      <c r="BX108" s="352"/>
      <c r="BY108" s="352"/>
      <c r="BZ108" s="352"/>
      <c r="CA108" s="352"/>
      <c r="CB108" s="352"/>
      <c r="CC108" s="352"/>
      <c r="CD108" s="352"/>
      <c r="CE108" s="352"/>
    </row>
    <row r="109" spans="1:184" s="1753" customFormat="1" ht="24.75" customHeight="1">
      <c r="A109" s="555"/>
      <c r="B109" s="352"/>
      <c r="C109" s="347"/>
      <c r="D109" s="2164"/>
      <c r="E109" s="2184" t="s">
        <v>1427</v>
      </c>
      <c r="F109" s="2184"/>
      <c r="G109" s="2184"/>
      <c r="H109" s="2184"/>
      <c r="I109" s="2184"/>
      <c r="J109" s="2184"/>
      <c r="K109" s="2184"/>
      <c r="L109" s="2184"/>
      <c r="M109" s="2184"/>
      <c r="N109" s="2184"/>
      <c r="O109" s="2184"/>
      <c r="P109" s="2184"/>
      <c r="Q109" s="485">
        <f>SUMIF(T110:T111,"i",Q110:Q111)</f>
        <v>0</v>
      </c>
      <c r="R109" s="1894"/>
      <c r="S109" s="796" t="s">
        <v>1428</v>
      </c>
      <c r="T109" s="631" t="s">
        <v>1424</v>
      </c>
      <c r="U109" s="2157">
        <v>1</v>
      </c>
      <c r="V109" s="2157" t="s">
        <v>1425</v>
      </c>
      <c r="W109" s="352"/>
      <c r="X109" s="352"/>
      <c r="Y109" s="352"/>
      <c r="Z109" s="352"/>
      <c r="AA109" s="439"/>
      <c r="AB109" s="352"/>
      <c r="AC109" s="802"/>
      <c r="AD109" s="551"/>
      <c r="AE109" s="352"/>
      <c r="AF109" s="352"/>
      <c r="AG109" s="439"/>
      <c r="AH109" s="439"/>
      <c r="AI109" s="439"/>
      <c r="AJ109" s="439"/>
      <c r="AK109" s="439"/>
      <c r="AL109" s="439"/>
      <c r="AM109" s="439"/>
      <c r="AN109" s="439"/>
      <c r="AO109" s="439"/>
      <c r="AP109" s="439"/>
      <c r="AQ109" s="439"/>
      <c r="AR109" s="439"/>
      <c r="AS109" s="439"/>
      <c r="AT109" s="439"/>
      <c r="AU109" s="439"/>
      <c r="AV109" s="439"/>
      <c r="AW109" s="439"/>
      <c r="AX109" s="439"/>
      <c r="AY109" s="439"/>
      <c r="AZ109" s="439"/>
      <c r="BA109" s="439"/>
      <c r="BB109" s="439"/>
      <c r="BC109" s="439"/>
      <c r="BD109" s="439"/>
      <c r="BE109" s="439"/>
      <c r="BF109" s="439"/>
      <c r="BG109" s="439"/>
      <c r="BH109" s="439"/>
      <c r="BI109" s="439"/>
      <c r="BJ109" s="439"/>
      <c r="BK109" s="439"/>
      <c r="BL109" s="439"/>
      <c r="BM109" s="439"/>
      <c r="BN109" s="439"/>
      <c r="BO109" s="439"/>
      <c r="BP109" s="439"/>
      <c r="BQ109" s="439"/>
      <c r="BR109" s="439"/>
      <c r="BS109" s="439"/>
      <c r="BT109" s="439"/>
      <c r="BU109" s="439"/>
      <c r="BV109" s="352"/>
      <c r="BW109" s="352"/>
      <c r="BX109" s="352"/>
      <c r="BY109" s="352"/>
      <c r="BZ109" s="352"/>
      <c r="CA109" s="352"/>
      <c r="CB109" s="352"/>
      <c r="CC109" s="352"/>
      <c r="CD109" s="352"/>
      <c r="CE109" s="352"/>
    </row>
    <row r="110" spans="1:184" s="1753" customFormat="1" ht="11.25" hidden="1" customHeight="1">
      <c r="A110" s="801"/>
      <c r="B110" s="439"/>
      <c r="C110" s="439"/>
      <c r="D110" s="2164"/>
      <c r="E110" s="1896"/>
      <c r="F110" s="557">
        <v>0</v>
      </c>
      <c r="G110" s="1896"/>
      <c r="H110" s="1896"/>
      <c r="I110" s="1896"/>
      <c r="J110" s="1896"/>
      <c r="K110" s="1896"/>
      <c r="L110" s="1896"/>
      <c r="M110" s="1896"/>
      <c r="N110" s="1896"/>
      <c r="O110" s="1896"/>
      <c r="P110" s="1896"/>
      <c r="Q110" s="1896"/>
      <c r="R110" s="1896"/>
      <c r="S110" s="1897"/>
      <c r="T110" s="1898"/>
      <c r="U110" s="2157"/>
      <c r="V110" s="2157"/>
      <c r="W110" s="439"/>
      <c r="X110" s="439"/>
      <c r="Y110" s="439"/>
      <c r="Z110" s="439"/>
      <c r="AA110" s="439"/>
      <c r="AB110" s="352"/>
      <c r="AC110" s="802"/>
      <c r="AD110" s="551"/>
      <c r="AE110" s="352"/>
      <c r="AF110" s="352"/>
      <c r="AG110" s="439"/>
      <c r="AH110" s="439"/>
      <c r="AI110" s="439"/>
      <c r="AJ110" s="439"/>
      <c r="AK110" s="439"/>
      <c r="AL110" s="439"/>
      <c r="AM110" s="439"/>
      <c r="AN110" s="439"/>
      <c r="AO110" s="439"/>
      <c r="AP110" s="439"/>
      <c r="AQ110" s="439"/>
      <c r="AR110" s="439"/>
      <c r="AS110" s="439"/>
      <c r="AT110" s="439"/>
      <c r="AU110" s="439"/>
      <c r="AV110" s="439"/>
      <c r="AW110" s="439"/>
      <c r="AX110" s="439"/>
      <c r="AY110" s="439"/>
      <c r="AZ110" s="439"/>
      <c r="BA110" s="439"/>
      <c r="BB110" s="439"/>
      <c r="BC110" s="439"/>
      <c r="BD110" s="439"/>
      <c r="BE110" s="439"/>
      <c r="BF110" s="439"/>
      <c r="BG110" s="439"/>
      <c r="BH110" s="439"/>
      <c r="BI110" s="439"/>
      <c r="BJ110" s="439"/>
      <c r="BK110" s="439"/>
      <c r="BL110" s="439"/>
      <c r="BM110" s="439"/>
      <c r="BN110" s="439"/>
      <c r="BO110" s="439"/>
      <c r="BP110" s="439"/>
      <c r="BQ110" s="439"/>
      <c r="BR110" s="439"/>
      <c r="BS110" s="439"/>
      <c r="BT110" s="439"/>
      <c r="BU110" s="439"/>
      <c r="BV110" s="439"/>
      <c r="BW110" s="439"/>
      <c r="BX110" s="439"/>
      <c r="BY110" s="439"/>
      <c r="BZ110" s="439"/>
      <c r="CA110" s="439"/>
      <c r="CB110" s="439"/>
      <c r="CC110" s="439"/>
      <c r="CD110" s="439"/>
      <c r="CE110" s="439"/>
    </row>
    <row r="111" spans="1:184" s="1753" customFormat="1" ht="11.25" customHeight="1">
      <c r="A111" s="555"/>
      <c r="B111" s="352"/>
      <c r="C111" s="347"/>
      <c r="D111" s="2165"/>
      <c r="E111" s="566" t="s">
        <v>17</v>
      </c>
      <c r="F111" s="567" t="s">
        <v>17</v>
      </c>
      <c r="G111" s="567" t="s">
        <v>1426</v>
      </c>
      <c r="H111" s="568" t="s">
        <v>17</v>
      </c>
      <c r="I111" s="568"/>
      <c r="J111" s="568"/>
      <c r="K111" s="568"/>
      <c r="L111" s="568"/>
      <c r="M111" s="568"/>
      <c r="N111" s="568"/>
      <c r="O111" s="568"/>
      <c r="P111" s="568"/>
      <c r="Q111" s="568"/>
      <c r="R111" s="569"/>
      <c r="S111" s="1902"/>
      <c r="T111" s="1898"/>
      <c r="U111" s="2157"/>
      <c r="V111" s="2157"/>
      <c r="W111" s="352"/>
      <c r="X111" s="352"/>
      <c r="Y111" s="352"/>
      <c r="Z111" s="352"/>
      <c r="AA111" s="439"/>
      <c r="AB111" s="352"/>
      <c r="AC111" s="802"/>
      <c r="AD111" s="551"/>
      <c r="AE111" s="352"/>
      <c r="AF111" s="352"/>
      <c r="AG111" s="439"/>
      <c r="AH111" s="439"/>
      <c r="AI111" s="439"/>
      <c r="AJ111" s="439"/>
      <c r="AK111" s="439"/>
      <c r="AL111" s="439"/>
      <c r="AM111" s="439"/>
      <c r="AN111" s="439"/>
      <c r="AO111" s="439"/>
      <c r="AP111" s="439"/>
      <c r="AQ111" s="439"/>
      <c r="AR111" s="439"/>
      <c r="AS111" s="439"/>
      <c r="AT111" s="439"/>
      <c r="AU111" s="439"/>
      <c r="AV111" s="439"/>
      <c r="AW111" s="439"/>
      <c r="AX111" s="439"/>
      <c r="AY111" s="439"/>
      <c r="AZ111" s="439"/>
      <c r="BA111" s="439"/>
      <c r="BB111" s="439"/>
      <c r="BC111" s="439"/>
      <c r="BD111" s="439"/>
      <c r="BE111" s="439"/>
      <c r="BF111" s="439"/>
      <c r="BG111" s="439"/>
      <c r="BH111" s="439"/>
      <c r="BI111" s="439"/>
      <c r="BJ111" s="439"/>
      <c r="BK111" s="439"/>
      <c r="BL111" s="439"/>
      <c r="BM111" s="439"/>
      <c r="BN111" s="439"/>
      <c r="BO111" s="439"/>
      <c r="BP111" s="439"/>
      <c r="BQ111" s="439"/>
      <c r="BR111" s="439"/>
      <c r="BS111" s="439"/>
      <c r="BT111" s="439"/>
      <c r="BU111" s="439"/>
      <c r="BV111" s="352"/>
      <c r="BW111" s="352"/>
      <c r="BX111" s="352"/>
      <c r="BY111" s="352"/>
      <c r="BZ111" s="352"/>
      <c r="CA111" s="352"/>
      <c r="CB111" s="352"/>
      <c r="CC111" s="352"/>
      <c r="CD111" s="352"/>
      <c r="CE111" s="352"/>
    </row>
    <row r="112" spans="1:184" s="1753" customFormat="1" ht="17.25" customHeight="1"/>
    <row r="113" spans="1:83" s="1754" customFormat="1" ht="11.25" customHeight="1">
      <c r="A113" s="21" t="s">
        <v>1429</v>
      </c>
    </row>
    <row r="114" spans="1:83" s="1753" customFormat="1" ht="17.25" customHeight="1"/>
    <row r="115" spans="1:83" s="1753" customFormat="1" ht="15" customHeight="1">
      <c r="A115" s="1887"/>
      <c r="B115" s="546"/>
      <c r="C115" s="546"/>
      <c r="D115" s="2163" t="s">
        <v>109</v>
      </c>
      <c r="E115" s="2166" t="s">
        <v>105</v>
      </c>
      <c r="F115" s="2167"/>
      <c r="G115" s="2168"/>
      <c r="H115" s="2169" t="str">
        <f>IF(A115="","",INDEX(DIFFERENTIATION_UNMERGE_VD,MATCH(A115,DIFFERENTIATION_ID_DIFF,0)))</f>
        <v/>
      </c>
      <c r="I115" s="2169"/>
      <c r="J115" s="2169"/>
      <c r="K115" s="2169"/>
      <c r="L115" s="2169"/>
      <c r="M115" s="2169"/>
      <c r="N115" s="2169"/>
      <c r="O115" s="2169"/>
      <c r="P115" s="2169"/>
      <c r="Q115" s="2169"/>
      <c r="R115" s="2169"/>
      <c r="S115" s="1888"/>
      <c r="T115" s="1889"/>
      <c r="U115" s="547"/>
      <c r="V115" s="547"/>
      <c r="W115" s="548"/>
      <c r="X115" s="548"/>
      <c r="Y115" s="548"/>
      <c r="Z115" s="548"/>
      <c r="AA115" s="549"/>
      <c r="AB115" s="550"/>
      <c r="AC115" s="2178"/>
      <c r="AD115" s="551"/>
      <c r="AE115" s="552" t="s">
        <v>17</v>
      </c>
      <c r="AF115" s="552"/>
      <c r="AG115" s="553" t="s">
        <v>1419</v>
      </c>
      <c r="AH115" s="554">
        <v>3</v>
      </c>
      <c r="AI115" s="547"/>
      <c r="AJ115" s="547"/>
      <c r="AK115" s="547"/>
      <c r="AL115" s="547"/>
      <c r="AM115" s="547"/>
      <c r="AN115" s="547"/>
      <c r="AO115" s="547"/>
      <c r="AP115" s="547"/>
      <c r="AQ115" s="547"/>
      <c r="AR115" s="547"/>
      <c r="AS115" s="547"/>
      <c r="AT115" s="547"/>
      <c r="AU115" s="547"/>
      <c r="AV115" s="547"/>
      <c r="AW115" s="547"/>
      <c r="AX115" s="547"/>
      <c r="AY115" s="547"/>
      <c r="AZ115" s="547"/>
      <c r="BA115" s="547"/>
      <c r="BB115" s="547"/>
      <c r="BC115" s="547"/>
      <c r="BD115" s="547"/>
      <c r="BE115" s="547"/>
      <c r="BF115" s="547"/>
      <c r="BG115" s="547"/>
      <c r="BH115" s="547"/>
      <c r="BI115" s="547"/>
      <c r="BJ115" s="547"/>
      <c r="BK115" s="547"/>
      <c r="BL115" s="547"/>
      <c r="BM115" s="547"/>
      <c r="BN115" s="547"/>
      <c r="BO115" s="547"/>
      <c r="BP115" s="547"/>
      <c r="BQ115" s="547"/>
      <c r="BR115" s="547"/>
      <c r="BS115" s="547"/>
      <c r="BT115" s="547"/>
      <c r="BU115" s="547"/>
      <c r="BV115" s="548"/>
      <c r="BW115" s="548"/>
      <c r="BX115" s="548"/>
      <c r="BY115" s="548"/>
      <c r="BZ115" s="548"/>
      <c r="CA115" s="548"/>
      <c r="CB115" s="548"/>
      <c r="CC115" s="548"/>
      <c r="CD115" s="548"/>
      <c r="CE115" s="548"/>
    </row>
    <row r="116" spans="1:83" s="1753" customFormat="1" ht="15" customHeight="1">
      <c r="A116" s="1887"/>
      <c r="B116" s="546"/>
      <c r="C116" s="546"/>
      <c r="D116" s="2164"/>
      <c r="E116" s="2166" t="s">
        <v>1420</v>
      </c>
      <c r="F116" s="2167"/>
      <c r="G116" s="2168"/>
      <c r="H116" s="2169" t="str">
        <f>IF(A115="","",INDEX(DIFFERENTIATION_UNMERGE_AREA,MATCH(A115,DIFFERENTIATION_ID_DIFF,0)))</f>
        <v/>
      </c>
      <c r="I116" s="2169"/>
      <c r="J116" s="2169"/>
      <c r="K116" s="2169"/>
      <c r="L116" s="2169"/>
      <c r="M116" s="2169"/>
      <c r="N116" s="2169"/>
      <c r="O116" s="2169"/>
      <c r="P116" s="2169"/>
      <c r="Q116" s="2169"/>
      <c r="R116" s="2169"/>
      <c r="S116" s="1888"/>
      <c r="T116" s="1889"/>
      <c r="U116" s="547"/>
      <c r="V116" s="547"/>
      <c r="W116" s="548"/>
      <c r="X116" s="548"/>
      <c r="Y116" s="548"/>
      <c r="Z116" s="548"/>
      <c r="AA116" s="549"/>
      <c r="AB116" s="550"/>
      <c r="AC116" s="2178"/>
      <c r="AD116" s="551"/>
      <c r="AE116" s="552"/>
      <c r="AF116" s="552"/>
      <c r="AG116" s="553"/>
      <c r="AH116" s="554"/>
      <c r="AI116" s="547"/>
      <c r="AJ116" s="547"/>
      <c r="AK116" s="547"/>
      <c r="AL116" s="547"/>
      <c r="AM116" s="547"/>
      <c r="AN116" s="547"/>
      <c r="AO116" s="547"/>
      <c r="AP116" s="547"/>
      <c r="AQ116" s="547"/>
      <c r="AR116" s="547"/>
      <c r="AS116" s="547"/>
      <c r="AT116" s="547"/>
      <c r="AU116" s="547"/>
      <c r="AV116" s="547"/>
      <c r="AW116" s="547"/>
      <c r="AX116" s="547"/>
      <c r="AY116" s="547"/>
      <c r="AZ116" s="547"/>
      <c r="BA116" s="547"/>
      <c r="BB116" s="547"/>
      <c r="BC116" s="547"/>
      <c r="BD116" s="547"/>
      <c r="BE116" s="547"/>
      <c r="BF116" s="547"/>
      <c r="BG116" s="547"/>
      <c r="BH116" s="547"/>
      <c r="BI116" s="547"/>
      <c r="BJ116" s="547"/>
      <c r="BK116" s="547"/>
      <c r="BL116" s="547"/>
      <c r="BM116" s="547"/>
      <c r="BN116" s="547"/>
      <c r="BO116" s="547"/>
      <c r="BP116" s="547"/>
      <c r="BQ116" s="547"/>
      <c r="BR116" s="547"/>
      <c r="BS116" s="547"/>
      <c r="BT116" s="547"/>
      <c r="BU116" s="547"/>
      <c r="BV116" s="548"/>
      <c r="BW116" s="548"/>
      <c r="BX116" s="548"/>
      <c r="BY116" s="548"/>
      <c r="BZ116" s="548"/>
      <c r="CA116" s="548"/>
      <c r="CB116" s="548"/>
      <c r="CC116" s="548"/>
      <c r="CD116" s="548"/>
      <c r="CE116" s="548"/>
    </row>
    <row r="117" spans="1:83" s="1753" customFormat="1" ht="15" customHeight="1">
      <c r="A117" s="1887"/>
      <c r="B117" s="546"/>
      <c r="C117" s="546"/>
      <c r="D117" s="2164"/>
      <c r="E117" s="2166" t="s">
        <v>1421</v>
      </c>
      <c r="F117" s="2167"/>
      <c r="G117" s="2168"/>
      <c r="H117" s="2169" t="str">
        <f>IF(A115="","",INDEX(DIFFERENTIATION_UNMERGE_SYSTEM,MATCH(A115,DIFFERENTIATION_ID_DIFF,0)))</f>
        <v/>
      </c>
      <c r="I117" s="2169"/>
      <c r="J117" s="2169"/>
      <c r="K117" s="2169"/>
      <c r="L117" s="2169"/>
      <c r="M117" s="2169"/>
      <c r="N117" s="2169"/>
      <c r="O117" s="2169"/>
      <c r="P117" s="2169"/>
      <c r="Q117" s="2169"/>
      <c r="R117" s="2169"/>
      <c r="S117" s="1888"/>
      <c r="T117" s="1889"/>
      <c r="U117" s="547"/>
      <c r="V117" s="547"/>
      <c r="W117" s="548"/>
      <c r="X117" s="548"/>
      <c r="Y117" s="548"/>
      <c r="Z117" s="548"/>
      <c r="AA117" s="549"/>
      <c r="AB117" s="550"/>
      <c r="AC117" s="2178"/>
      <c r="AD117" s="551"/>
      <c r="AE117" s="552"/>
      <c r="AF117" s="552"/>
      <c r="AG117" s="553"/>
      <c r="AH117" s="554"/>
      <c r="AI117" s="547"/>
      <c r="AJ117" s="547"/>
      <c r="AK117" s="547"/>
      <c r="AL117" s="547"/>
      <c r="AM117" s="547"/>
      <c r="AN117" s="547"/>
      <c r="AO117" s="547"/>
      <c r="AP117" s="547"/>
      <c r="AQ117" s="547"/>
      <c r="AR117" s="547"/>
      <c r="AS117" s="547"/>
      <c r="AT117" s="547"/>
      <c r="AU117" s="547"/>
      <c r="AV117" s="547"/>
      <c r="AW117" s="547"/>
      <c r="AX117" s="547"/>
      <c r="AY117" s="547"/>
      <c r="AZ117" s="547"/>
      <c r="BA117" s="547"/>
      <c r="BB117" s="547"/>
      <c r="BC117" s="547"/>
      <c r="BD117" s="547"/>
      <c r="BE117" s="547"/>
      <c r="BF117" s="547"/>
      <c r="BG117" s="547"/>
      <c r="BH117" s="547"/>
      <c r="BI117" s="547"/>
      <c r="BJ117" s="547"/>
      <c r="BK117" s="547"/>
      <c r="BL117" s="547"/>
      <c r="BM117" s="547"/>
      <c r="BN117" s="547"/>
      <c r="BO117" s="547"/>
      <c r="BP117" s="547"/>
      <c r="BQ117" s="547"/>
      <c r="BR117" s="547"/>
      <c r="BS117" s="547"/>
      <c r="BT117" s="547"/>
      <c r="BU117" s="547"/>
      <c r="BV117" s="548"/>
      <c r="BW117" s="548"/>
      <c r="BX117" s="548"/>
      <c r="BY117" s="548"/>
      <c r="BZ117" s="548"/>
      <c r="CA117" s="548"/>
      <c r="CB117" s="548"/>
      <c r="CC117" s="548"/>
      <c r="CD117" s="548"/>
      <c r="CE117" s="548"/>
    </row>
    <row r="118" spans="1:83" s="1753" customFormat="1" ht="24.75" customHeight="1">
      <c r="A118" s="555"/>
      <c r="B118" s="352"/>
      <c r="C118" s="347"/>
      <c r="D118" s="2164"/>
      <c r="E118" s="2184" t="s">
        <v>1422</v>
      </c>
      <c r="F118" s="2184"/>
      <c r="G118" s="2184"/>
      <c r="H118" s="2184"/>
      <c r="I118" s="2184"/>
      <c r="J118" s="2184"/>
      <c r="K118" s="2184"/>
      <c r="L118" s="2184"/>
      <c r="M118" s="2184"/>
      <c r="N118" s="2184"/>
      <c r="O118" s="2184"/>
      <c r="P118" s="2184"/>
      <c r="Q118" s="485">
        <f>SUMIF(T119:T120,"i",Q119:Q120)</f>
        <v>0</v>
      </c>
      <c r="R118" s="1894"/>
      <c r="S118" s="913" t="s">
        <v>1423</v>
      </c>
      <c r="T118" s="631" t="s">
        <v>1424</v>
      </c>
      <c r="U118" s="2157">
        <v>1</v>
      </c>
      <c r="V118" s="2157" t="s">
        <v>1425</v>
      </c>
      <c r="W118" s="352"/>
      <c r="X118" s="352"/>
      <c r="Y118" s="352"/>
      <c r="Z118" s="352"/>
      <c r="AA118" s="439"/>
      <c r="AB118" s="352"/>
      <c r="AC118" s="2178"/>
      <c r="AD118" s="551"/>
      <c r="AE118" s="352"/>
      <c r="AF118" s="352"/>
      <c r="AG118" s="439"/>
      <c r="AH118" s="439"/>
      <c r="AI118" s="439"/>
      <c r="AJ118" s="439"/>
      <c r="AK118" s="439"/>
      <c r="AL118" s="439"/>
      <c r="AM118" s="439"/>
      <c r="AN118" s="439"/>
      <c r="AO118" s="439"/>
      <c r="AP118" s="439"/>
      <c r="AQ118" s="439"/>
      <c r="AR118" s="439"/>
      <c r="AS118" s="439"/>
      <c r="AT118" s="439"/>
      <c r="AU118" s="439"/>
      <c r="AV118" s="439"/>
      <c r="AW118" s="439"/>
      <c r="AX118" s="439"/>
      <c r="AY118" s="439"/>
      <c r="AZ118" s="439"/>
      <c r="BA118" s="439"/>
      <c r="BB118" s="439"/>
      <c r="BC118" s="439"/>
      <c r="BD118" s="439"/>
      <c r="BE118" s="439"/>
      <c r="BF118" s="439"/>
      <c r="BG118" s="439"/>
      <c r="BH118" s="439"/>
      <c r="BI118" s="439"/>
      <c r="BJ118" s="439"/>
      <c r="BK118" s="439"/>
      <c r="BL118" s="439"/>
      <c r="BM118" s="439"/>
      <c r="BN118" s="439"/>
      <c r="BO118" s="439"/>
      <c r="BP118" s="439"/>
      <c r="BQ118" s="439"/>
      <c r="BR118" s="439"/>
      <c r="BS118" s="439"/>
      <c r="BT118" s="439"/>
      <c r="BU118" s="439"/>
      <c r="BV118" s="352"/>
      <c r="BW118" s="352"/>
      <c r="BX118" s="352"/>
      <c r="BY118" s="352"/>
      <c r="BZ118" s="352"/>
      <c r="CA118" s="352"/>
      <c r="CB118" s="352"/>
      <c r="CC118" s="352"/>
      <c r="CD118" s="352"/>
      <c r="CE118" s="352"/>
    </row>
    <row r="119" spans="1:83" s="1753" customFormat="1" ht="11.25" hidden="1" customHeight="1">
      <c r="A119" s="912"/>
      <c r="B119" s="439"/>
      <c r="C119" s="439"/>
      <c r="D119" s="2164"/>
      <c r="E119" s="1896"/>
      <c r="F119" s="557">
        <v>0</v>
      </c>
      <c r="G119" s="1896"/>
      <c r="H119" s="1896"/>
      <c r="I119" s="1896"/>
      <c r="J119" s="1896"/>
      <c r="K119" s="1896"/>
      <c r="L119" s="1896"/>
      <c r="M119" s="1896"/>
      <c r="N119" s="1896"/>
      <c r="O119" s="1896"/>
      <c r="P119" s="1896"/>
      <c r="Q119" s="1896"/>
      <c r="R119" s="1896"/>
      <c r="S119" s="1897"/>
      <c r="T119" s="1898"/>
      <c r="U119" s="2157"/>
      <c r="V119" s="2157"/>
      <c r="W119" s="439"/>
      <c r="X119" s="439"/>
      <c r="Y119" s="439"/>
      <c r="Z119" s="439"/>
      <c r="AA119" s="439"/>
      <c r="AB119" s="352"/>
      <c r="AC119" s="2178"/>
      <c r="AD119" s="551"/>
      <c r="AE119" s="352"/>
      <c r="AF119" s="352"/>
      <c r="AG119" s="439"/>
      <c r="AH119" s="439"/>
      <c r="AI119" s="439"/>
      <c r="AJ119" s="439"/>
      <c r="AK119" s="439"/>
      <c r="AL119" s="439"/>
      <c r="AM119" s="439"/>
      <c r="AN119" s="439"/>
      <c r="AO119" s="439"/>
      <c r="AP119" s="439"/>
      <c r="AQ119" s="439"/>
      <c r="AR119" s="439"/>
      <c r="AS119" s="439"/>
      <c r="AT119" s="439"/>
      <c r="AU119" s="439"/>
      <c r="AV119" s="439"/>
      <c r="AW119" s="439"/>
      <c r="AX119" s="439"/>
      <c r="AY119" s="439"/>
      <c r="AZ119" s="439"/>
      <c r="BA119" s="439"/>
      <c r="BB119" s="439"/>
      <c r="BC119" s="439"/>
      <c r="BD119" s="439"/>
      <c r="BE119" s="439"/>
      <c r="BF119" s="439"/>
      <c r="BG119" s="439"/>
      <c r="BH119" s="439"/>
      <c r="BI119" s="439"/>
      <c r="BJ119" s="439"/>
      <c r="BK119" s="439"/>
      <c r="BL119" s="439"/>
      <c r="BM119" s="439"/>
      <c r="BN119" s="439"/>
      <c r="BO119" s="439"/>
      <c r="BP119" s="439"/>
      <c r="BQ119" s="439"/>
      <c r="BR119" s="439"/>
      <c r="BS119" s="439"/>
      <c r="BT119" s="439"/>
      <c r="BU119" s="439"/>
      <c r="BV119" s="439"/>
      <c r="BW119" s="439"/>
      <c r="BX119" s="439"/>
      <c r="BY119" s="439"/>
      <c r="BZ119" s="439"/>
      <c r="CA119" s="439"/>
      <c r="CB119" s="439"/>
      <c r="CC119" s="439"/>
      <c r="CD119" s="439"/>
      <c r="CE119" s="439"/>
    </row>
    <row r="120" spans="1:83" s="1753" customFormat="1" ht="11.25" customHeight="1">
      <c r="A120" s="555"/>
      <c r="B120" s="352"/>
      <c r="C120" s="347"/>
      <c r="D120" s="2164"/>
      <c r="E120" s="566" t="s">
        <v>17</v>
      </c>
      <c r="F120" s="567" t="s">
        <v>17</v>
      </c>
      <c r="G120" s="567" t="s">
        <v>1426</v>
      </c>
      <c r="H120" s="568" t="s">
        <v>17</v>
      </c>
      <c r="I120" s="568"/>
      <c r="J120" s="568"/>
      <c r="K120" s="568"/>
      <c r="L120" s="568"/>
      <c r="M120" s="568"/>
      <c r="N120" s="568"/>
      <c r="O120" s="568"/>
      <c r="P120" s="568"/>
      <c r="Q120" s="568"/>
      <c r="R120" s="569"/>
      <c r="S120" s="1902"/>
      <c r="T120" s="1898"/>
      <c r="U120" s="2157"/>
      <c r="V120" s="2157"/>
      <c r="W120" s="352"/>
      <c r="X120" s="352"/>
      <c r="Y120" s="352"/>
      <c r="Z120" s="352"/>
      <c r="AA120" s="439"/>
      <c r="AB120" s="352"/>
      <c r="AC120" s="2178"/>
      <c r="AD120" s="551"/>
      <c r="AE120" s="352"/>
      <c r="AF120" s="352"/>
      <c r="AG120" s="439"/>
      <c r="AH120" s="439"/>
      <c r="AI120" s="439"/>
      <c r="AJ120" s="439"/>
      <c r="AK120" s="439"/>
      <c r="AL120" s="439"/>
      <c r="AM120" s="439"/>
      <c r="AN120" s="439"/>
      <c r="AO120" s="439"/>
      <c r="AP120" s="439"/>
      <c r="AQ120" s="439"/>
      <c r="AR120" s="439"/>
      <c r="AS120" s="439"/>
      <c r="AT120" s="439"/>
      <c r="AU120" s="439"/>
      <c r="AV120" s="439"/>
      <c r="AW120" s="439"/>
      <c r="AX120" s="439"/>
      <c r="AY120" s="439"/>
      <c r="AZ120" s="439"/>
      <c r="BA120" s="439"/>
      <c r="BB120" s="439"/>
      <c r="BC120" s="439"/>
      <c r="BD120" s="439"/>
      <c r="BE120" s="439"/>
      <c r="BF120" s="439"/>
      <c r="BG120" s="439"/>
      <c r="BH120" s="439"/>
      <c r="BI120" s="439"/>
      <c r="BJ120" s="439"/>
      <c r="BK120" s="439"/>
      <c r="BL120" s="439"/>
      <c r="BM120" s="439"/>
      <c r="BN120" s="439"/>
      <c r="BO120" s="439"/>
      <c r="BP120" s="439"/>
      <c r="BQ120" s="439"/>
      <c r="BR120" s="439"/>
      <c r="BS120" s="439"/>
      <c r="BT120" s="439"/>
      <c r="BU120" s="439"/>
      <c r="BV120" s="352"/>
      <c r="BW120" s="352"/>
      <c r="BX120" s="352"/>
      <c r="BY120" s="352"/>
      <c r="BZ120" s="352"/>
      <c r="CA120" s="352"/>
      <c r="CB120" s="352"/>
      <c r="CC120" s="352"/>
      <c r="CD120" s="352"/>
      <c r="CE120" s="352"/>
    </row>
    <row r="121" spans="1:83" s="1775" customFormat="1" ht="5.25" hidden="1" customHeight="1">
      <c r="A121" s="912"/>
      <c r="B121" s="439"/>
      <c r="C121" s="439"/>
      <c r="D121" s="2164"/>
      <c r="E121" s="1903"/>
      <c r="F121" s="1903"/>
      <c r="G121" s="1903"/>
      <c r="H121" s="1903"/>
      <c r="I121" s="1903"/>
      <c r="J121" s="1903"/>
      <c r="K121" s="1903"/>
      <c r="L121" s="1903"/>
      <c r="M121" s="1903"/>
      <c r="N121" s="1903"/>
      <c r="O121" s="1903"/>
      <c r="P121" s="1903"/>
      <c r="Q121" s="1904"/>
      <c r="R121" s="1905"/>
      <c r="S121" s="932"/>
      <c r="T121" s="631" t="s">
        <v>1424</v>
      </c>
      <c r="U121" s="2157">
        <v>1</v>
      </c>
      <c r="V121" s="2157" t="s">
        <v>1425</v>
      </c>
      <c r="W121" s="439"/>
      <c r="X121" s="439"/>
      <c r="Y121" s="439"/>
      <c r="Z121" s="439"/>
      <c r="AA121" s="439"/>
      <c r="AB121" s="439"/>
      <c r="AC121" s="930"/>
      <c r="AD121" s="931"/>
      <c r="AE121" s="439"/>
      <c r="AF121" s="439"/>
      <c r="AG121" s="439"/>
      <c r="AH121" s="439"/>
      <c r="AI121" s="439"/>
      <c r="AJ121" s="439"/>
      <c r="AK121" s="439"/>
      <c r="AL121" s="439"/>
      <c r="AM121" s="439"/>
      <c r="AN121" s="439"/>
      <c r="AO121" s="439"/>
      <c r="AP121" s="439"/>
      <c r="AQ121" s="439"/>
      <c r="AR121" s="439"/>
      <c r="AS121" s="439"/>
      <c r="AT121" s="439"/>
      <c r="AU121" s="439"/>
      <c r="AV121" s="439"/>
      <c r="AW121" s="439"/>
      <c r="AX121" s="439"/>
      <c r="AY121" s="439"/>
      <c r="AZ121" s="439"/>
      <c r="BA121" s="439"/>
      <c r="BB121" s="439"/>
      <c r="BC121" s="439"/>
      <c r="BD121" s="439"/>
      <c r="BE121" s="439"/>
      <c r="BF121" s="439"/>
      <c r="BG121" s="439"/>
      <c r="BH121" s="439"/>
      <c r="BI121" s="439"/>
      <c r="BJ121" s="439"/>
      <c r="BK121" s="439"/>
      <c r="BL121" s="439"/>
      <c r="BM121" s="439"/>
      <c r="BN121" s="439"/>
      <c r="BO121" s="439"/>
      <c r="BP121" s="439"/>
      <c r="BQ121" s="439"/>
      <c r="BR121" s="439"/>
      <c r="BS121" s="439"/>
      <c r="BT121" s="439"/>
      <c r="BU121" s="439"/>
      <c r="BV121" s="439"/>
      <c r="BW121" s="439"/>
      <c r="BX121" s="439"/>
      <c r="BY121" s="439"/>
      <c r="BZ121" s="439"/>
      <c r="CA121" s="439"/>
      <c r="CB121" s="439"/>
      <c r="CC121" s="439"/>
      <c r="CD121" s="439"/>
      <c r="CE121" s="439"/>
    </row>
    <row r="122" spans="1:83" s="1775" customFormat="1" ht="5.25" hidden="1" customHeight="1">
      <c r="A122" s="912"/>
      <c r="B122" s="439"/>
      <c r="C122" s="439"/>
      <c r="D122" s="2164"/>
      <c r="E122" s="557"/>
      <c r="F122" s="557"/>
      <c r="G122" s="557"/>
      <c r="H122" s="557"/>
      <c r="I122" s="557"/>
      <c r="J122" s="557"/>
      <c r="K122" s="557"/>
      <c r="L122" s="557"/>
      <c r="M122" s="557"/>
      <c r="N122" s="557"/>
      <c r="O122" s="557"/>
      <c r="P122" s="557"/>
      <c r="Q122" s="557"/>
      <c r="R122" s="557"/>
      <c r="S122" s="558"/>
      <c r="T122" s="632"/>
      <c r="U122" s="2157"/>
      <c r="V122" s="2157"/>
      <c r="W122" s="439"/>
      <c r="X122" s="439"/>
      <c r="Y122" s="439"/>
      <c r="Z122" s="439"/>
      <c r="AA122" s="439"/>
      <c r="AB122" s="439"/>
      <c r="AC122" s="930"/>
      <c r="AD122" s="931"/>
      <c r="AE122" s="439"/>
      <c r="AF122" s="439"/>
      <c r="AG122" s="439"/>
      <c r="AH122" s="439"/>
      <c r="AI122" s="439"/>
      <c r="AJ122" s="439"/>
      <c r="AK122" s="439"/>
      <c r="AL122" s="439"/>
      <c r="AM122" s="439"/>
      <c r="AN122" s="439"/>
      <c r="AO122" s="439"/>
      <c r="AP122" s="439"/>
      <c r="AQ122" s="439"/>
      <c r="AR122" s="439"/>
      <c r="AS122" s="439"/>
      <c r="AT122" s="439"/>
      <c r="AU122" s="439"/>
      <c r="AV122" s="439"/>
      <c r="AW122" s="439"/>
      <c r="AX122" s="439"/>
      <c r="AY122" s="439"/>
      <c r="AZ122" s="439"/>
      <c r="BA122" s="439"/>
      <c r="BB122" s="439"/>
      <c r="BC122" s="439"/>
      <c r="BD122" s="439"/>
      <c r="BE122" s="439"/>
      <c r="BF122" s="439"/>
      <c r="BG122" s="439"/>
      <c r="BH122" s="439"/>
      <c r="BI122" s="439"/>
      <c r="BJ122" s="439"/>
      <c r="BK122" s="439"/>
      <c r="BL122" s="439"/>
      <c r="BM122" s="439"/>
      <c r="BN122" s="439"/>
      <c r="BO122" s="439"/>
      <c r="BP122" s="439"/>
      <c r="BQ122" s="439"/>
      <c r="BR122" s="439"/>
      <c r="BS122" s="439"/>
      <c r="BT122" s="439"/>
      <c r="BU122" s="439"/>
      <c r="BV122" s="439"/>
      <c r="BW122" s="439"/>
      <c r="BX122" s="439"/>
      <c r="BY122" s="439"/>
      <c r="BZ122" s="439"/>
      <c r="CA122" s="439"/>
      <c r="CB122" s="439"/>
      <c r="CC122" s="439"/>
      <c r="CD122" s="439"/>
      <c r="CE122" s="439"/>
    </row>
    <row r="123" spans="1:83" s="1775" customFormat="1" ht="5.25" hidden="1" customHeight="1">
      <c r="A123" s="912"/>
      <c r="B123" s="439"/>
      <c r="C123" s="439"/>
      <c r="D123" s="2165"/>
      <c r="E123" s="1906"/>
      <c r="F123" s="1907"/>
      <c r="G123" s="1907"/>
      <c r="H123" s="1908"/>
      <c r="I123" s="1908"/>
      <c r="J123" s="1908"/>
      <c r="K123" s="1908"/>
      <c r="L123" s="1908"/>
      <c r="M123" s="1908"/>
      <c r="N123" s="1908"/>
      <c r="O123" s="1908"/>
      <c r="P123" s="1908"/>
      <c r="Q123" s="1908"/>
      <c r="R123" s="1909"/>
      <c r="S123" s="1910"/>
      <c r="T123" s="632"/>
      <c r="U123" s="2157"/>
      <c r="V123" s="2157"/>
      <c r="W123" s="439"/>
      <c r="X123" s="439"/>
      <c r="Y123" s="439"/>
      <c r="Z123" s="439"/>
      <c r="AA123" s="439"/>
      <c r="AB123" s="439"/>
      <c r="AC123" s="930"/>
      <c r="AD123" s="931"/>
      <c r="AE123" s="439"/>
      <c r="AF123" s="439"/>
      <c r="AG123" s="439"/>
      <c r="AH123" s="439"/>
      <c r="AI123" s="439"/>
      <c r="AJ123" s="439"/>
      <c r="AK123" s="439"/>
      <c r="AL123" s="439"/>
      <c r="AM123" s="439"/>
      <c r="AN123" s="439"/>
      <c r="AO123" s="439"/>
      <c r="AP123" s="439"/>
      <c r="AQ123" s="439"/>
      <c r="AR123" s="439"/>
      <c r="AS123" s="439"/>
      <c r="AT123" s="439"/>
      <c r="AU123" s="439"/>
      <c r="AV123" s="439"/>
      <c r="AW123" s="439"/>
      <c r="AX123" s="439"/>
      <c r="AY123" s="439"/>
      <c r="AZ123" s="439"/>
      <c r="BA123" s="439"/>
      <c r="BB123" s="439"/>
      <c r="BC123" s="439"/>
      <c r="BD123" s="439"/>
      <c r="BE123" s="439"/>
      <c r="BF123" s="439"/>
      <c r="BG123" s="439"/>
      <c r="BH123" s="439"/>
      <c r="BI123" s="439"/>
      <c r="BJ123" s="439"/>
      <c r="BK123" s="439"/>
      <c r="BL123" s="439"/>
      <c r="BM123" s="439"/>
      <c r="BN123" s="439"/>
      <c r="BO123" s="439"/>
      <c r="BP123" s="439"/>
      <c r="BQ123" s="439"/>
      <c r="BR123" s="439"/>
      <c r="BS123" s="439"/>
      <c r="BT123" s="439"/>
      <c r="BU123" s="439"/>
      <c r="BV123" s="439"/>
      <c r="BW123" s="439"/>
      <c r="BX123" s="439"/>
      <c r="BY123" s="439"/>
      <c r="BZ123" s="439"/>
      <c r="CA123" s="439"/>
      <c r="CB123" s="439"/>
      <c r="CC123" s="439"/>
      <c r="CD123" s="439"/>
      <c r="CE123" s="439"/>
    </row>
    <row r="124" spans="1:83" s="1753" customFormat="1" ht="17.25" customHeight="1">
      <c r="D124" s="1911"/>
    </row>
    <row r="125" spans="1:83" s="1754" customFormat="1" ht="11.25" customHeight="1">
      <c r="A125" s="21" t="s">
        <v>1430</v>
      </c>
    </row>
    <row r="126" spans="1:83" s="1753" customFormat="1" ht="17.25" customHeight="1"/>
    <row r="127" spans="1:83" s="1753" customFormat="1" ht="45" customHeight="1">
      <c r="A127" s="555"/>
      <c r="B127" s="352"/>
      <c r="C127" s="347"/>
      <c r="D127" s="300"/>
      <c r="E127" s="2179"/>
      <c r="F127" s="2032" t="s">
        <v>109</v>
      </c>
      <c r="G127" s="2182" t="s">
        <v>17</v>
      </c>
      <c r="H127" s="1912"/>
      <c r="I127" s="1913" t="s">
        <v>109</v>
      </c>
      <c r="J127" s="1914" t="s">
        <v>1431</v>
      </c>
      <c r="K127" s="1915" t="s">
        <v>1432</v>
      </c>
      <c r="L127" s="2118" t="s">
        <v>1432</v>
      </c>
      <c r="M127" s="2078"/>
      <c r="N127" s="559" t="s">
        <v>1432</v>
      </c>
      <c r="O127" s="559" t="s">
        <v>1432</v>
      </c>
      <c r="P127" s="559" t="s">
        <v>1432</v>
      </c>
      <c r="Q127" s="1916">
        <f>SUM(Q128:Q130)</f>
        <v>0</v>
      </c>
      <c r="R127" s="560">
        <f>IF(R124=0,0,(Q124/R124)*100)</f>
        <v>0</v>
      </c>
      <c r="S127" s="2090"/>
      <c r="T127" s="631" t="s">
        <v>1424</v>
      </c>
      <c r="U127" s="300"/>
      <c r="V127" s="300"/>
      <c r="AC127" s="300"/>
    </row>
    <row r="128" spans="1:83" s="1753" customFormat="1" ht="11.25" customHeight="1">
      <c r="A128" s="555"/>
      <c r="B128" s="352"/>
      <c r="C128" s="347"/>
      <c r="D128" s="300"/>
      <c r="E128" s="2180"/>
      <c r="F128" s="2032"/>
      <c r="G128" s="2182"/>
      <c r="H128" s="2021"/>
      <c r="I128" s="2160" t="s">
        <v>620</v>
      </c>
      <c r="J128" s="2176"/>
      <c r="K128" s="2177"/>
      <c r="L128" s="1917"/>
      <c r="M128" s="1918" t="s">
        <v>109</v>
      </c>
      <c r="N128" s="1919"/>
      <c r="O128" s="1920"/>
      <c r="P128" s="562"/>
      <c r="Q128" s="1920"/>
      <c r="R128" s="1921">
        <v>0</v>
      </c>
      <c r="S128" s="2090"/>
      <c r="T128" s="631"/>
      <c r="U128" s="300"/>
      <c r="V128" s="300"/>
      <c r="AC128" s="300"/>
    </row>
    <row r="129" spans="1:220" s="1753" customFormat="1" ht="11.25" customHeight="1">
      <c r="A129" s="555"/>
      <c r="B129" s="352"/>
      <c r="C129" s="347"/>
      <c r="D129" s="300"/>
      <c r="E129" s="2180"/>
      <c r="F129" s="2032"/>
      <c r="G129" s="2182"/>
      <c r="H129" s="2021"/>
      <c r="I129" s="2160"/>
      <c r="J129" s="2176"/>
      <c r="K129" s="2162"/>
      <c r="L129" s="1922"/>
      <c r="M129" s="1923"/>
      <c r="N129" s="1924" t="s">
        <v>1433</v>
      </c>
      <c r="O129" s="565"/>
      <c r="P129" s="565"/>
      <c r="Q129" s="565"/>
      <c r="R129" s="1925"/>
      <c r="S129" s="2090"/>
      <c r="T129" s="631"/>
      <c r="U129" s="300"/>
      <c r="V129" s="300"/>
      <c r="AC129" s="300"/>
    </row>
    <row r="130" spans="1:220" s="1753" customFormat="1" ht="11.25" customHeight="1">
      <c r="A130" s="555"/>
      <c r="B130" s="352"/>
      <c r="C130" s="347"/>
      <c r="D130" s="300"/>
      <c r="E130" s="2181"/>
      <c r="F130" s="2032"/>
      <c r="G130" s="2183"/>
      <c r="H130" s="564" t="s">
        <v>17</v>
      </c>
      <c r="I130" s="1923"/>
      <c r="J130" s="565" t="s">
        <v>1434</v>
      </c>
      <c r="K130" s="565"/>
      <c r="L130" s="565"/>
      <c r="M130" s="565"/>
      <c r="N130" s="565"/>
      <c r="O130" s="565"/>
      <c r="P130" s="565"/>
      <c r="Q130" s="565"/>
      <c r="R130" s="1925"/>
      <c r="S130" s="2090"/>
      <c r="T130" s="631"/>
      <c r="U130" s="300"/>
      <c r="V130" s="300"/>
      <c r="AC130" s="300"/>
    </row>
    <row r="131" spans="1:220" s="1753" customFormat="1" ht="17.25" customHeight="1"/>
    <row r="132" spans="1:220" s="1753" customFormat="1" ht="17.25" customHeight="1"/>
    <row r="133" spans="1:220" s="1753" customFormat="1" ht="17.25" customHeight="1"/>
    <row r="135" spans="1:220" s="1753" customFormat="1" ht="11.25" customHeight="1">
      <c r="A135" s="1628"/>
      <c r="B135" s="1036"/>
      <c r="C135" s="347"/>
      <c r="D135" s="300"/>
      <c r="E135" s="1621"/>
      <c r="F135" s="1621"/>
      <c r="G135" s="1621"/>
      <c r="H135" s="2021"/>
      <c r="I135" s="2160" t="s">
        <v>620</v>
      </c>
      <c r="J135" s="2176"/>
      <c r="K135" s="2177"/>
      <c r="L135" s="1917"/>
      <c r="M135" s="561" t="s">
        <v>109</v>
      </c>
      <c r="N135" s="1627"/>
      <c r="O135" s="1920"/>
      <c r="P135" s="562"/>
      <c r="Q135" s="1920"/>
      <c r="R135" s="563">
        <v>0</v>
      </c>
      <c r="S135" s="300"/>
      <c r="T135" s="631"/>
      <c r="U135" s="300"/>
      <c r="V135" s="300"/>
      <c r="AC135" s="300"/>
    </row>
    <row r="136" spans="1:220" s="1753" customFormat="1" ht="11.25" customHeight="1">
      <c r="A136" s="1628"/>
      <c r="B136" s="1036"/>
      <c r="C136" s="347"/>
      <c r="D136" s="300"/>
      <c r="E136" s="1621"/>
      <c r="F136" s="1621"/>
      <c r="G136" s="1621"/>
      <c r="H136" s="2021"/>
      <c r="I136" s="2160"/>
      <c r="J136" s="2176"/>
      <c r="K136" s="2162"/>
      <c r="L136" s="1922"/>
      <c r="M136" s="1923"/>
      <c r="N136" s="565" t="s">
        <v>1433</v>
      </c>
      <c r="O136" s="565"/>
      <c r="P136" s="565"/>
      <c r="Q136" s="565"/>
      <c r="R136" s="1925"/>
      <c r="S136" s="300"/>
      <c r="T136" s="631"/>
      <c r="U136" s="300"/>
      <c r="V136" s="300"/>
      <c r="AC136" s="300"/>
    </row>
    <row r="137" spans="1:220" s="1753" customFormat="1" ht="17.25" customHeight="1"/>
    <row r="138" spans="1:220" s="1753" customFormat="1" ht="11.25" customHeight="1">
      <c r="A138" s="1628"/>
      <c r="B138" s="1036"/>
      <c r="C138" s="347"/>
      <c r="D138" s="300"/>
      <c r="E138" s="1926"/>
      <c r="F138" s="1373"/>
      <c r="G138" s="1373"/>
      <c r="H138" s="1927"/>
      <c r="I138" s="1621"/>
      <c r="J138" s="1623"/>
      <c r="K138" s="1623"/>
      <c r="L138" s="1917"/>
      <c r="M138" s="561" t="s">
        <v>109</v>
      </c>
      <c r="N138" s="1627"/>
      <c r="O138" s="1920"/>
      <c r="P138" s="562"/>
      <c r="Q138" s="1920"/>
      <c r="R138" s="563">
        <v>0</v>
      </c>
      <c r="S138" s="300"/>
      <c r="T138" s="631"/>
      <c r="U138" s="300"/>
      <c r="V138" s="300"/>
      <c r="AC138" s="300"/>
    </row>
    <row r="139" spans="1:220" s="1753" customFormat="1" ht="17.25" customHeight="1"/>
    <row r="140" spans="1:220" s="1754" customFormat="1" ht="17.25" customHeight="1">
      <c r="A140" s="21" t="s">
        <v>1435</v>
      </c>
    </row>
    <row r="141" spans="1:220" s="1753" customFormat="1" ht="17.25" customHeight="1">
      <c r="G141" s="1928"/>
      <c r="H141" s="1928"/>
      <c r="I141" s="1928"/>
      <c r="M141" s="795"/>
      <c r="X141" s="5"/>
      <c r="Y141" s="5"/>
      <c r="Z141" s="5"/>
      <c r="AA141" s="5"/>
      <c r="AB141" s="5"/>
      <c r="AC141" s="5"/>
      <c r="AD141" s="5"/>
      <c r="AE141" s="5"/>
      <c r="AF141" s="5"/>
      <c r="AG141" s="5"/>
      <c r="AH141" s="5"/>
      <c r="AI141" s="5"/>
      <c r="AJ141" s="5"/>
      <c r="AK141" s="5"/>
      <c r="AL141" s="5"/>
      <c r="AM141" s="5"/>
      <c r="AN141" s="5"/>
      <c r="AO141" s="5"/>
      <c r="AP141" s="5"/>
      <c r="AQ141" s="5"/>
      <c r="AR141" s="5"/>
      <c r="AS141" s="5"/>
      <c r="AT141" s="5"/>
      <c r="AU141" s="5"/>
      <c r="AV141" s="5"/>
      <c r="AW141" s="5"/>
      <c r="AX141" s="5"/>
      <c r="AY141" s="5"/>
      <c r="AZ141" s="5"/>
      <c r="BA141" s="5"/>
      <c r="BB141" s="5"/>
      <c r="BC141" s="5"/>
      <c r="BD141" s="5"/>
      <c r="BE141" s="5"/>
      <c r="BF141" s="5"/>
      <c r="BG141" s="5"/>
      <c r="BH141" s="5"/>
      <c r="BI141" s="5"/>
      <c r="BJ141" s="5"/>
      <c r="BK141" s="5"/>
      <c r="BL141" s="5"/>
      <c r="BM141" s="5"/>
      <c r="BN141" s="5"/>
      <c r="BO141" s="5"/>
      <c r="BP141" s="5"/>
      <c r="BQ141" s="5"/>
      <c r="BR141" s="5"/>
      <c r="BS141" s="5"/>
      <c r="BT141" s="5"/>
      <c r="BU141" s="5"/>
      <c r="BV141" s="5"/>
      <c r="BW141" s="5"/>
      <c r="BX141" s="5"/>
      <c r="BY141" s="5"/>
      <c r="BZ141" s="5"/>
      <c r="CA141" s="5"/>
      <c r="CB141" s="5"/>
      <c r="CC141" s="5"/>
      <c r="CD141" s="5"/>
      <c r="CE141" s="5"/>
      <c r="CF141" s="5"/>
      <c r="CG141" s="5"/>
      <c r="CH141" s="5"/>
      <c r="CI141" s="5"/>
      <c r="CJ141" s="5"/>
      <c r="CK141" s="5"/>
      <c r="CL141" s="5"/>
      <c r="CM141" s="5"/>
      <c r="CN141" s="5"/>
      <c r="CO141" s="5"/>
      <c r="CP141" s="5"/>
      <c r="CQ141" s="5"/>
      <c r="CR141" s="5"/>
      <c r="CS141" s="5"/>
      <c r="CT141" s="5"/>
      <c r="CU141" s="5"/>
      <c r="CV141" s="5"/>
      <c r="CW141" s="5"/>
      <c r="CX141" s="5"/>
      <c r="CY141" s="5"/>
      <c r="CZ141" s="5"/>
      <c r="DA141" s="5"/>
      <c r="DB141" s="5"/>
      <c r="DC141" s="5"/>
      <c r="DD141" s="5"/>
      <c r="DE141" s="5"/>
      <c r="DF141" s="5"/>
      <c r="DG141" s="5"/>
      <c r="DH141" s="5"/>
      <c r="DI141" s="5"/>
      <c r="DJ141" s="5"/>
      <c r="DK141" s="5"/>
      <c r="DL141" s="5"/>
      <c r="DM141" s="5"/>
      <c r="DN141" s="5"/>
      <c r="DO141" s="5"/>
      <c r="DP141" s="5"/>
      <c r="DQ141" s="5"/>
      <c r="DR141" s="5"/>
      <c r="DS141" s="5"/>
      <c r="DT141" s="5"/>
      <c r="DU141" s="5"/>
      <c r="DV141" s="5"/>
      <c r="DW141" s="5"/>
      <c r="DX141" s="5"/>
      <c r="DY141" s="5"/>
      <c r="DZ141" s="5"/>
      <c r="EA141" s="5"/>
      <c r="EB141" s="5"/>
      <c r="EC141" s="5"/>
      <c r="ED141" s="5"/>
      <c r="EE141" s="5"/>
      <c r="EF141" s="5"/>
      <c r="EG141" s="5"/>
      <c r="EH141" s="5"/>
      <c r="EI141" s="5"/>
      <c r="EJ141" s="5"/>
      <c r="EK141" s="5"/>
      <c r="EL141" s="5"/>
      <c r="EM141" s="5"/>
      <c r="EN141" s="5"/>
      <c r="EO141" s="5"/>
      <c r="EP141" s="5"/>
      <c r="EQ141" s="5"/>
      <c r="ER141" s="5"/>
      <c r="ES141" s="5"/>
      <c r="ET141" s="5"/>
      <c r="EU141" s="5"/>
      <c r="EV141" s="5"/>
      <c r="EW141" s="5"/>
      <c r="EX141" s="5"/>
      <c r="EY141" s="5"/>
      <c r="EZ141" s="5"/>
      <c r="FA141" s="5"/>
      <c r="FB141" s="5"/>
      <c r="FC141" s="5"/>
      <c r="FD141" s="5"/>
      <c r="FE141" s="5"/>
      <c r="FF141" s="5"/>
      <c r="FG141" s="5"/>
      <c r="FH141" s="5"/>
      <c r="FI141" s="5"/>
      <c r="FJ141" s="5"/>
      <c r="FK141" s="5"/>
      <c r="FL141" s="5"/>
      <c r="FM141" s="5"/>
      <c r="FN141" s="5"/>
      <c r="FO141" s="5"/>
      <c r="FP141" s="5"/>
      <c r="FQ141" s="5"/>
      <c r="FR141" s="5"/>
      <c r="FS141" s="5"/>
      <c r="FT141" s="5"/>
      <c r="FU141" s="5"/>
      <c r="FV141" s="5"/>
      <c r="FW141" s="5"/>
      <c r="FX141" s="5"/>
      <c r="FY141" s="5"/>
      <c r="FZ141" s="5"/>
      <c r="GA141" s="5"/>
      <c r="GB141" s="5"/>
      <c r="GC141" s="5"/>
      <c r="GD141" s="5"/>
      <c r="GE141" s="5"/>
      <c r="GF141" s="5"/>
      <c r="GG141" s="5"/>
      <c r="GH141" s="5"/>
      <c r="GI141" s="5"/>
      <c r="GJ141" s="5"/>
      <c r="GK141" s="5"/>
      <c r="GL141" s="5"/>
      <c r="GM141" s="5"/>
      <c r="GN141" s="5"/>
      <c r="GO141" s="5"/>
      <c r="GP141" s="5"/>
      <c r="GQ141" s="5"/>
      <c r="GR141" s="5"/>
      <c r="GS141" s="5"/>
      <c r="GT141" s="5"/>
      <c r="GU141" s="5"/>
      <c r="GV141" s="5"/>
      <c r="GW141" s="5"/>
      <c r="GX141" s="5"/>
      <c r="GY141" s="5"/>
      <c r="GZ141" s="5"/>
      <c r="HA141" s="5"/>
      <c r="HB141" s="5"/>
      <c r="HC141" s="5"/>
      <c r="HD141" s="5"/>
      <c r="HE141" s="5"/>
      <c r="HF141" s="5"/>
      <c r="HG141" s="5"/>
      <c r="HH141" s="5"/>
      <c r="HI141" s="5"/>
      <c r="HJ141" s="5"/>
      <c r="HK141" s="5"/>
      <c r="HL141" s="5"/>
    </row>
    <row r="142" spans="1:220" s="1950" customFormat="1" ht="17.25" customHeight="1">
      <c r="A142" s="1929"/>
      <c r="C142" s="131"/>
      <c r="D142" s="2158"/>
      <c r="E142" s="2043"/>
      <c r="F142" s="2045"/>
      <c r="G142" s="2048"/>
      <c r="H142" s="2158"/>
      <c r="I142" s="2158">
        <v>1</v>
      </c>
      <c r="J142" s="2187"/>
      <c r="K142" s="2093" t="s">
        <v>66</v>
      </c>
      <c r="L142" s="2032"/>
      <c r="M142" s="2032" t="s">
        <v>109</v>
      </c>
      <c r="N142" s="2185" t="str">
        <f>IF(Z142="","",INDEX(TERRITORY_MR_LIST,MATCH(Z142,TERRITORY_LIST_ID,0)))</f>
        <v/>
      </c>
      <c r="O142" s="2093" t="s">
        <v>66</v>
      </c>
      <c r="P142" s="2032"/>
      <c r="Q142" s="2032" t="s">
        <v>109</v>
      </c>
      <c r="R142" s="2162" t="s">
        <v>17</v>
      </c>
      <c r="S142" s="2031" t="s">
        <v>66</v>
      </c>
      <c r="T142" s="1177"/>
      <c r="U142" s="1177" t="s">
        <v>109</v>
      </c>
      <c r="V142" s="1190" t="s">
        <v>17</v>
      </c>
      <c r="W142" s="130"/>
      <c r="Y142" s="1149"/>
      <c r="Z142" s="1149"/>
      <c r="AA142" s="1149"/>
      <c r="AB142" s="1930"/>
      <c r="AC142" s="1149"/>
      <c r="AD142" s="1930"/>
      <c r="AE142" s="1930"/>
      <c r="AF142" s="1930"/>
      <c r="AG142" s="1930"/>
      <c r="AH142" s="1930"/>
      <c r="AI142" s="1930"/>
      <c r="AJ142" s="1930"/>
      <c r="AK142" s="1930"/>
      <c r="AL142" s="1931"/>
      <c r="AM142" s="1931"/>
      <c r="AN142" s="1930"/>
      <c r="AO142" s="1930"/>
      <c r="AP142" s="1930"/>
      <c r="AQ142" s="1930"/>
    </row>
    <row r="143" spans="1:220" s="1950" customFormat="1" ht="17.25" customHeight="1">
      <c r="A143" s="1929"/>
      <c r="C143" s="245"/>
      <c r="D143" s="2158"/>
      <c r="E143" s="2043"/>
      <c r="F143" s="2046"/>
      <c r="G143" s="2048"/>
      <c r="H143" s="2158"/>
      <c r="I143" s="2158"/>
      <c r="J143" s="2187"/>
      <c r="K143" s="2094"/>
      <c r="L143" s="2032"/>
      <c r="M143" s="2032"/>
      <c r="N143" s="2185"/>
      <c r="O143" s="2094"/>
      <c r="P143" s="2032"/>
      <c r="Q143" s="2032"/>
      <c r="R143" s="2162"/>
      <c r="S143" s="2031"/>
      <c r="T143" s="1932"/>
      <c r="U143" s="1933"/>
      <c r="V143" s="243" t="s">
        <v>1436</v>
      </c>
      <c r="W143" s="1934"/>
      <c r="Y143" s="1142"/>
      <c r="Z143" s="1142"/>
      <c r="AA143" s="1142"/>
      <c r="AB143" s="1935"/>
      <c r="AC143" s="1142"/>
      <c r="AD143" s="1935"/>
      <c r="AE143" s="1935"/>
      <c r="AF143" s="1935"/>
      <c r="AG143" s="1935"/>
      <c r="AH143" s="1935"/>
      <c r="AI143" s="1935"/>
      <c r="AJ143" s="1935"/>
      <c r="AK143" s="1935"/>
    </row>
    <row r="144" spans="1:220" s="1950" customFormat="1" ht="17.25" customHeight="1">
      <c r="A144" s="1929"/>
      <c r="C144" s="245"/>
      <c r="D144" s="2042"/>
      <c r="E144" s="2044"/>
      <c r="F144" s="2046"/>
      <c r="G144" s="2049"/>
      <c r="H144" s="2042"/>
      <c r="I144" s="2042"/>
      <c r="J144" s="2188"/>
      <c r="K144" s="2094"/>
      <c r="L144" s="2042"/>
      <c r="M144" s="2042"/>
      <c r="N144" s="2186"/>
      <c r="O144" s="2036"/>
      <c r="P144" s="1932"/>
      <c r="Q144" s="1933"/>
      <c r="R144" s="243" t="s">
        <v>1437</v>
      </c>
      <c r="S144" s="1936"/>
      <c r="T144" s="1936"/>
      <c r="U144" s="1936"/>
      <c r="V144" s="1936"/>
      <c r="W144" s="1934"/>
      <c r="Y144" s="1142"/>
      <c r="Z144" s="1142"/>
      <c r="AA144" s="1142"/>
      <c r="AB144" s="1935"/>
      <c r="AC144" s="1142"/>
      <c r="AD144" s="1935"/>
      <c r="AE144" s="1935"/>
      <c r="AF144" s="1935"/>
      <c r="AG144" s="1935"/>
      <c r="AH144" s="1935"/>
      <c r="AI144" s="1935"/>
      <c r="AJ144" s="1935"/>
      <c r="AK144" s="1935"/>
    </row>
    <row r="145" spans="1:43" s="1950" customFormat="1" ht="17.25" customHeight="1">
      <c r="A145" s="1929"/>
      <c r="C145" s="245"/>
      <c r="D145" s="2042"/>
      <c r="E145" s="2044"/>
      <c r="F145" s="2046"/>
      <c r="G145" s="2049"/>
      <c r="H145" s="2042"/>
      <c r="I145" s="2042"/>
      <c r="J145" s="2188"/>
      <c r="K145" s="2036"/>
      <c r="L145" s="1932"/>
      <c r="M145" s="1933"/>
      <c r="N145" s="243" t="s">
        <v>1438</v>
      </c>
      <c r="O145" s="1933"/>
      <c r="P145" s="1933"/>
      <c r="Q145" s="1933"/>
      <c r="R145" s="1933"/>
      <c r="S145" s="1936"/>
      <c r="T145" s="1936"/>
      <c r="U145" s="1936"/>
      <c r="V145" s="1936"/>
      <c r="W145" s="1934"/>
      <c r="Y145" s="1142"/>
      <c r="Z145" s="1142"/>
      <c r="AA145" s="1142"/>
      <c r="AB145" s="1935"/>
      <c r="AC145" s="1142"/>
      <c r="AD145" s="1935"/>
      <c r="AE145" s="1935"/>
      <c r="AF145" s="1935"/>
      <c r="AG145" s="1935"/>
      <c r="AH145" s="1935"/>
      <c r="AI145" s="1935"/>
      <c r="AJ145" s="1935"/>
      <c r="AK145" s="1935"/>
    </row>
    <row r="146" spans="1:43" s="1950" customFormat="1" ht="17.25" customHeight="1">
      <c r="A146" s="1929"/>
      <c r="C146" s="245"/>
      <c r="D146" s="2042"/>
      <c r="E146" s="2044"/>
      <c r="F146" s="2047"/>
      <c r="G146" s="2049"/>
      <c r="H146" s="1932"/>
      <c r="I146" s="1933"/>
      <c r="J146" s="243" t="s">
        <v>1439</v>
      </c>
      <c r="K146" s="1933"/>
      <c r="L146" s="1933"/>
      <c r="M146" s="1933"/>
      <c r="N146" s="1933"/>
      <c r="O146" s="1933"/>
      <c r="P146" s="1933"/>
      <c r="Q146" s="1933"/>
      <c r="R146" s="1933"/>
      <c r="S146" s="1936"/>
      <c r="T146" s="1936"/>
      <c r="U146" s="1936"/>
      <c r="V146" s="1936"/>
      <c r="W146" s="1934"/>
      <c r="Y146" s="1142"/>
      <c r="Z146" s="1142"/>
      <c r="AA146" s="1142"/>
      <c r="AB146" s="1935"/>
      <c r="AC146" s="1142"/>
      <c r="AD146" s="1935"/>
      <c r="AE146" s="1935"/>
      <c r="AF146" s="1935"/>
      <c r="AG146" s="1935"/>
      <c r="AH146" s="1935"/>
      <c r="AI146" s="1935"/>
      <c r="AJ146" s="1935"/>
      <c r="AK146" s="1935"/>
    </row>
    <row r="147" spans="1:43" s="1753" customFormat="1" ht="17.25" customHeight="1">
      <c r="G147" s="1928"/>
      <c r="H147" s="1928"/>
      <c r="I147" s="1928"/>
      <c r="M147" s="1373"/>
    </row>
    <row r="148" spans="1:43" s="1950" customFormat="1" ht="17.25" customHeight="1">
      <c r="A148" s="246"/>
      <c r="C148" s="131"/>
      <c r="D148" s="1621"/>
      <c r="E148" s="1937"/>
      <c r="F148" s="1613"/>
      <c r="G148" s="1938"/>
      <c r="H148" s="2158"/>
      <c r="I148" s="2158">
        <v>1</v>
      </c>
      <c r="J148" s="2187"/>
      <c r="K148" s="2093" t="s">
        <v>66</v>
      </c>
      <c r="L148" s="2032"/>
      <c r="M148" s="2032" t="s">
        <v>109</v>
      </c>
      <c r="N148" s="2185" t="str">
        <f>IF(Z148="","",INDEX(TERRITORY_MR_LIST,MATCH(Z148,TERRITORY_LIST_ID,0)))</f>
        <v/>
      </c>
      <c r="O148" s="2093" t="s">
        <v>66</v>
      </c>
      <c r="P148" s="2032"/>
      <c r="Q148" s="2032" t="s">
        <v>109</v>
      </c>
      <c r="R148" s="2162" t="s">
        <v>17</v>
      </c>
      <c r="S148" s="2031" t="s">
        <v>66</v>
      </c>
      <c r="T148" s="1619"/>
      <c r="U148" s="1619" t="s">
        <v>109</v>
      </c>
      <c r="V148" s="1618" t="s">
        <v>17</v>
      </c>
      <c r="W148" s="1616"/>
      <c r="Y148" s="1149"/>
      <c r="Z148" s="1149"/>
      <c r="AA148" s="1149"/>
      <c r="AB148" s="1149"/>
      <c r="AC148" s="1149"/>
      <c r="AD148" s="1149"/>
      <c r="AE148" s="1149"/>
      <c r="AF148" s="1149"/>
      <c r="AG148" s="1149"/>
      <c r="AH148" s="1149"/>
      <c r="AI148" s="1149"/>
      <c r="AJ148" s="1149"/>
      <c r="AK148" s="1149"/>
      <c r="AL148" s="165"/>
      <c r="AM148" s="165"/>
      <c r="AN148" s="1149"/>
      <c r="AO148" s="1149"/>
      <c r="AP148" s="1149"/>
      <c r="AQ148" s="1149"/>
    </row>
    <row r="149" spans="1:43" s="1950" customFormat="1" ht="17.25" customHeight="1">
      <c r="A149" s="246"/>
      <c r="C149" s="245"/>
      <c r="D149" s="1621"/>
      <c r="E149" s="1937"/>
      <c r="F149" s="1613"/>
      <c r="G149" s="1938"/>
      <c r="H149" s="2158"/>
      <c r="I149" s="2158"/>
      <c r="J149" s="2187"/>
      <c r="K149" s="2094"/>
      <c r="L149" s="2032"/>
      <c r="M149" s="2032"/>
      <c r="N149" s="2185"/>
      <c r="O149" s="2094"/>
      <c r="P149" s="2032"/>
      <c r="Q149" s="2032"/>
      <c r="R149" s="2162"/>
      <c r="S149" s="2031"/>
      <c r="T149" s="242"/>
      <c r="U149" s="243"/>
      <c r="V149" s="243" t="s">
        <v>1436</v>
      </c>
      <c r="W149" s="244"/>
      <c r="Y149" s="1142"/>
      <c r="Z149" s="1142"/>
      <c r="AA149" s="1142"/>
      <c r="AB149" s="1142"/>
      <c r="AC149" s="1142"/>
      <c r="AD149" s="1142"/>
      <c r="AE149" s="1142"/>
      <c r="AF149" s="1142"/>
      <c r="AG149" s="1142"/>
      <c r="AH149" s="1142"/>
      <c r="AI149" s="1142"/>
      <c r="AJ149" s="1142"/>
      <c r="AK149" s="1142"/>
    </row>
    <row r="150" spans="1:43" s="1950" customFormat="1" ht="17.25" customHeight="1">
      <c r="A150" s="246"/>
      <c r="C150" s="245"/>
      <c r="D150" s="1621"/>
      <c r="E150" s="1937"/>
      <c r="F150" s="1613"/>
      <c r="G150" s="1938"/>
      <c r="H150" s="2042"/>
      <c r="I150" s="2042"/>
      <c r="J150" s="2188"/>
      <c r="K150" s="2094"/>
      <c r="L150" s="2042"/>
      <c r="M150" s="2042"/>
      <c r="N150" s="2186"/>
      <c r="O150" s="2036"/>
      <c r="P150" s="242"/>
      <c r="Q150" s="243"/>
      <c r="R150" s="243" t="s">
        <v>1437</v>
      </c>
      <c r="S150" s="240"/>
      <c r="T150" s="240"/>
      <c r="U150" s="240"/>
      <c r="V150" s="240"/>
      <c r="W150" s="244"/>
      <c r="Y150" s="1142"/>
      <c r="Z150" s="1142"/>
      <c r="AA150" s="1142"/>
      <c r="AB150" s="1142"/>
      <c r="AC150" s="1142"/>
      <c r="AD150" s="1142"/>
      <c r="AE150" s="1142"/>
      <c r="AF150" s="1142"/>
      <c r="AG150" s="1142"/>
      <c r="AH150" s="1142"/>
      <c r="AI150" s="1142"/>
      <c r="AJ150" s="1142"/>
      <c r="AK150" s="1142"/>
    </row>
    <row r="151" spans="1:43" s="1950" customFormat="1" ht="17.25" customHeight="1">
      <c r="A151" s="246"/>
      <c r="C151" s="245"/>
      <c r="D151" s="1621"/>
      <c r="E151" s="1937"/>
      <c r="F151" s="1613"/>
      <c r="G151" s="1938"/>
      <c r="H151" s="2042"/>
      <c r="I151" s="2042"/>
      <c r="J151" s="2188"/>
      <c r="K151" s="2036"/>
      <c r="L151" s="242"/>
      <c r="M151" s="243"/>
      <c r="N151" s="243" t="s">
        <v>1438</v>
      </c>
      <c r="O151" s="243"/>
      <c r="P151" s="243"/>
      <c r="Q151" s="243"/>
      <c r="R151" s="243"/>
      <c r="S151" s="240"/>
      <c r="T151" s="240"/>
      <c r="U151" s="240"/>
      <c r="V151" s="240"/>
      <c r="W151" s="244"/>
      <c r="Y151" s="1142"/>
      <c r="Z151" s="1142"/>
      <c r="AA151" s="1142"/>
      <c r="AB151" s="1142"/>
      <c r="AC151" s="1142"/>
      <c r="AD151" s="1142"/>
      <c r="AE151" s="1142"/>
      <c r="AF151" s="1142"/>
      <c r="AG151" s="1142"/>
      <c r="AH151" s="1142"/>
      <c r="AI151" s="1142"/>
      <c r="AJ151" s="1142"/>
      <c r="AK151" s="1142"/>
    </row>
    <row r="152" spans="1:43" s="1753" customFormat="1" ht="17.25" customHeight="1">
      <c r="G152" s="1928"/>
      <c r="H152" s="1928"/>
      <c r="I152" s="1928"/>
      <c r="M152" s="1373"/>
    </row>
    <row r="153" spans="1:43" s="1950" customFormat="1" ht="17.25" customHeight="1">
      <c r="A153" s="246"/>
      <c r="C153" s="131"/>
      <c r="D153" s="1621"/>
      <c r="E153" s="1937"/>
      <c r="F153" s="1613"/>
      <c r="G153" s="1938"/>
      <c r="H153" s="1621"/>
      <c r="I153" s="1621"/>
      <c r="J153" s="1939"/>
      <c r="K153" s="1940"/>
      <c r="L153" s="2032"/>
      <c r="M153" s="2032" t="s">
        <v>109</v>
      </c>
      <c r="N153" s="2185" t="str">
        <f>IF(Z153="","",INDEX(TERRITORY_MR_LIST,MATCH(Z153,TERRITORY_LIST_ID,0)))</f>
        <v/>
      </c>
      <c r="O153" s="2093" t="s">
        <v>66</v>
      </c>
      <c r="P153" s="2032"/>
      <c r="Q153" s="2032" t="s">
        <v>109</v>
      </c>
      <c r="R153" s="2162" t="s">
        <v>17</v>
      </c>
      <c r="S153" s="2031" t="s">
        <v>66</v>
      </c>
      <c r="T153" s="1619"/>
      <c r="U153" s="1619" t="s">
        <v>109</v>
      </c>
      <c r="V153" s="1618" t="s">
        <v>17</v>
      </c>
      <c r="W153" s="1616"/>
      <c r="Y153" s="1149"/>
      <c r="Z153" s="1149"/>
      <c r="AA153" s="1149"/>
      <c r="AB153" s="1149"/>
      <c r="AC153" s="1149"/>
      <c r="AD153" s="1149"/>
      <c r="AE153" s="1149"/>
      <c r="AF153" s="1149"/>
      <c r="AG153" s="1149"/>
      <c r="AH153" s="1149"/>
      <c r="AI153" s="1149"/>
      <c r="AJ153" s="1149"/>
      <c r="AK153" s="1149"/>
      <c r="AL153" s="165"/>
      <c r="AM153" s="165"/>
      <c r="AN153" s="1149"/>
      <c r="AO153" s="1149"/>
      <c r="AP153" s="1149"/>
      <c r="AQ153" s="1149"/>
    </row>
    <row r="154" spans="1:43" s="1950" customFormat="1" ht="17.25" customHeight="1">
      <c r="A154" s="246"/>
      <c r="C154" s="245"/>
      <c r="D154" s="1621"/>
      <c r="E154" s="1937"/>
      <c r="F154" s="1613"/>
      <c r="G154" s="1938"/>
      <c r="H154" s="1621"/>
      <c r="I154" s="1621"/>
      <c r="J154" s="1939"/>
      <c r="K154" s="1940"/>
      <c r="L154" s="2032"/>
      <c r="M154" s="2032"/>
      <c r="N154" s="2185"/>
      <c r="O154" s="2094"/>
      <c r="P154" s="2032"/>
      <c r="Q154" s="2032"/>
      <c r="R154" s="2162"/>
      <c r="S154" s="2031"/>
      <c r="T154" s="242"/>
      <c r="U154" s="243"/>
      <c r="V154" s="243" t="s">
        <v>1436</v>
      </c>
      <c r="W154" s="244"/>
      <c r="Y154" s="1142"/>
      <c r="Z154" s="1142"/>
      <c r="AA154" s="1142"/>
      <c r="AB154" s="1142"/>
      <c r="AC154" s="1142"/>
      <c r="AD154" s="1142"/>
      <c r="AE154" s="1142"/>
      <c r="AF154" s="1142"/>
      <c r="AG154" s="1142"/>
      <c r="AH154" s="1142"/>
      <c r="AI154" s="1142"/>
      <c r="AJ154" s="1142"/>
      <c r="AK154" s="1142"/>
    </row>
    <row r="155" spans="1:43" s="1950" customFormat="1" ht="17.25" customHeight="1">
      <c r="A155" s="246"/>
      <c r="C155" s="245"/>
      <c r="D155" s="1621"/>
      <c r="E155" s="1937"/>
      <c r="F155" s="1613"/>
      <c r="G155" s="1938"/>
      <c r="H155" s="1621"/>
      <c r="I155" s="1621"/>
      <c r="J155" s="1939"/>
      <c r="K155" s="1940"/>
      <c r="L155" s="2042"/>
      <c r="M155" s="2042"/>
      <c r="N155" s="2186"/>
      <c r="O155" s="2036"/>
      <c r="P155" s="242"/>
      <c r="Q155" s="243"/>
      <c r="R155" s="243" t="s">
        <v>1437</v>
      </c>
      <c r="S155" s="240"/>
      <c r="T155" s="240"/>
      <c r="U155" s="240"/>
      <c r="V155" s="240"/>
      <c r="W155" s="244"/>
      <c r="Y155" s="1142"/>
      <c r="Z155" s="1142"/>
      <c r="AA155" s="1142"/>
      <c r="AB155" s="1142"/>
      <c r="AC155" s="1142"/>
      <c r="AD155" s="1142"/>
      <c r="AE155" s="1142"/>
      <c r="AF155" s="1142"/>
      <c r="AG155" s="1142"/>
      <c r="AH155" s="1142"/>
      <c r="AI155" s="1142"/>
      <c r="AJ155" s="1142"/>
      <c r="AK155" s="1142"/>
    </row>
    <row r="156" spans="1:43" s="1753" customFormat="1" ht="17.25" customHeight="1">
      <c r="G156" s="1928"/>
      <c r="H156" s="1928"/>
      <c r="I156" s="1928"/>
      <c r="M156" s="1373"/>
    </row>
    <row r="157" spans="1:43" s="1950" customFormat="1" ht="17.25" customHeight="1">
      <c r="A157" s="246"/>
      <c r="C157" s="131"/>
      <c r="D157" s="1621"/>
      <c r="E157" s="1937"/>
      <c r="F157" s="1613"/>
      <c r="G157" s="1938"/>
      <c r="H157" s="1621"/>
      <c r="I157" s="1621"/>
      <c r="J157" s="1939"/>
      <c r="K157" s="1940"/>
      <c r="L157" s="1941"/>
      <c r="M157" s="1941"/>
      <c r="N157" s="1942"/>
      <c r="O157" s="1622"/>
      <c r="P157" s="2032"/>
      <c r="Q157" s="2032" t="s">
        <v>109</v>
      </c>
      <c r="R157" s="2162" t="s">
        <v>17</v>
      </c>
      <c r="S157" s="2031" t="s">
        <v>66</v>
      </c>
      <c r="T157" s="1619"/>
      <c r="U157" s="1619" t="s">
        <v>109</v>
      </c>
      <c r="V157" s="1618" t="s">
        <v>17</v>
      </c>
      <c r="W157" s="1616"/>
      <c r="Y157" s="1149"/>
      <c r="Z157" s="1149"/>
      <c r="AA157" s="1149"/>
      <c r="AB157" s="1149"/>
      <c r="AC157" s="1149"/>
      <c r="AD157" s="1149"/>
      <c r="AE157" s="1149"/>
      <c r="AF157" s="1149"/>
      <c r="AG157" s="1149"/>
      <c r="AH157" s="1149"/>
      <c r="AI157" s="1149"/>
      <c r="AJ157" s="1149"/>
      <c r="AK157" s="1149"/>
      <c r="AL157" s="165"/>
      <c r="AM157" s="165"/>
      <c r="AN157" s="1149"/>
      <c r="AO157" s="1149"/>
      <c r="AP157" s="1149"/>
      <c r="AQ157" s="1149"/>
    </row>
    <row r="158" spans="1:43" s="1950" customFormat="1" ht="17.25" customHeight="1">
      <c r="A158" s="246"/>
      <c r="C158" s="245"/>
      <c r="D158" s="1621"/>
      <c r="E158" s="1937"/>
      <c r="F158" s="1613"/>
      <c r="G158" s="1938"/>
      <c r="H158" s="1621"/>
      <c r="I158" s="1621"/>
      <c r="J158" s="1939"/>
      <c r="K158" s="1940"/>
      <c r="L158" s="1941"/>
      <c r="M158" s="1941"/>
      <c r="N158" s="1942"/>
      <c r="O158" s="1622"/>
      <c r="P158" s="2032"/>
      <c r="Q158" s="2032"/>
      <c r="R158" s="2162"/>
      <c r="S158" s="2031"/>
      <c r="T158" s="242"/>
      <c r="U158" s="243"/>
      <c r="V158" s="243" t="s">
        <v>1436</v>
      </c>
      <c r="W158" s="244"/>
      <c r="Y158" s="1142"/>
      <c r="Z158" s="1142"/>
      <c r="AA158" s="1142"/>
      <c r="AB158" s="1142"/>
      <c r="AC158" s="1142"/>
      <c r="AD158" s="1142"/>
      <c r="AE158" s="1142"/>
      <c r="AF158" s="1142"/>
      <c r="AG158" s="1142"/>
      <c r="AH158" s="1142"/>
      <c r="AI158" s="1142"/>
      <c r="AJ158" s="1142"/>
      <c r="AK158" s="1142"/>
    </row>
    <row r="159" spans="1:43" s="1753" customFormat="1" ht="17.25" customHeight="1">
      <c r="G159" s="1928"/>
      <c r="H159" s="1928"/>
      <c r="I159" s="1928"/>
      <c r="M159" s="1373"/>
    </row>
    <row r="160" spans="1:43" s="1950" customFormat="1" ht="17.25" customHeight="1">
      <c r="A160" s="246"/>
      <c r="C160" s="131"/>
      <c r="D160" s="1621"/>
      <c r="E160" s="1937"/>
      <c r="F160" s="1606"/>
      <c r="G160" s="1938"/>
      <c r="H160" s="1941"/>
      <c r="I160" s="1941"/>
      <c r="J160" s="1943"/>
      <c r="K160" s="1938"/>
      <c r="L160" s="1941"/>
      <c r="M160" s="1941"/>
      <c r="N160" s="1938"/>
      <c r="O160" s="1938"/>
      <c r="P160" s="1941"/>
      <c r="Q160" s="1941"/>
      <c r="R160" s="1944"/>
      <c r="S160" s="1938"/>
      <c r="T160" s="1609"/>
      <c r="U160" s="1609" t="s">
        <v>109</v>
      </c>
      <c r="V160" s="1607" t="s">
        <v>17</v>
      </c>
      <c r="W160" s="1608"/>
      <c r="Y160" s="1149"/>
      <c r="Z160" s="1149"/>
      <c r="AA160" s="1149"/>
      <c r="AB160" s="1149"/>
      <c r="AC160" s="1149"/>
      <c r="AD160" s="1149"/>
      <c r="AE160" s="1149"/>
      <c r="AF160" s="1149"/>
      <c r="AG160" s="1149"/>
      <c r="AH160" s="1149"/>
      <c r="AI160" s="1149"/>
      <c r="AJ160" s="1149"/>
      <c r="AK160" s="1149"/>
      <c r="AL160" s="165"/>
      <c r="AM160" s="165"/>
      <c r="AN160" s="1149"/>
      <c r="AO160" s="1149"/>
      <c r="AP160" s="1149"/>
      <c r="AQ160" s="1149"/>
    </row>
    <row r="161" spans="1:43" s="1753" customFormat="1" ht="17.25" customHeight="1"/>
    <row r="162" spans="1:43" s="1754" customFormat="1" ht="17.25" customHeight="1">
      <c r="A162" s="21" t="s">
        <v>1440</v>
      </c>
    </row>
    <row r="163" spans="1:43" s="1753" customFormat="1" ht="17.25" customHeight="1">
      <c r="G163" s="1928"/>
      <c r="H163" s="1928"/>
      <c r="I163" s="1928"/>
      <c r="M163" s="1233"/>
    </row>
    <row r="164" spans="1:43" s="1950" customFormat="1" ht="17.25" customHeight="1">
      <c r="A164" s="246"/>
      <c r="C164" s="131"/>
      <c r="D164" s="2158"/>
      <c r="E164" s="2043"/>
      <c r="F164" s="2045"/>
      <c r="G164" s="2048"/>
      <c r="H164" s="2158"/>
      <c r="I164" s="2158">
        <v>1</v>
      </c>
      <c r="J164" s="2187"/>
      <c r="K164" s="2093" t="s">
        <v>66</v>
      </c>
      <c r="L164" s="2032"/>
      <c r="M164" s="2032" t="s">
        <v>109</v>
      </c>
      <c r="N164" s="2185" t="str">
        <f>IF(Z164="","",INDEX(TERRITORY_MR_LIST,MATCH(Z164,TERRITORY_LIST_ID,0)))</f>
        <v/>
      </c>
      <c r="O164" s="2093" t="s">
        <v>66</v>
      </c>
      <c r="P164" s="2032"/>
      <c r="Q164" s="2032" t="s">
        <v>109</v>
      </c>
      <c r="R164" s="2162" t="s">
        <v>17</v>
      </c>
      <c r="S164" s="2222" t="s">
        <v>56</v>
      </c>
      <c r="T164" s="1277"/>
      <c r="U164" s="1277" t="s">
        <v>109</v>
      </c>
      <c r="V164" s="1945"/>
      <c r="W164" s="2187"/>
      <c r="Y164" s="1149"/>
      <c r="Z164" s="1149"/>
      <c r="AA164" s="1149"/>
      <c r="AB164" s="1149"/>
      <c r="AC164" s="1149"/>
      <c r="AD164" s="1149"/>
      <c r="AE164" s="1149"/>
      <c r="AF164" s="1149"/>
      <c r="AG164" s="1149"/>
      <c r="AH164" s="1149"/>
      <c r="AI164" s="1149"/>
      <c r="AJ164" s="1149"/>
      <c r="AK164" s="1149"/>
      <c r="AL164" s="165"/>
      <c r="AM164" s="165"/>
      <c r="AN164" s="1149"/>
      <c r="AO164" s="1149"/>
      <c r="AP164" s="1149"/>
      <c r="AQ164" s="1149"/>
    </row>
    <row r="165" spans="1:43" s="1950" customFormat="1" ht="17.25" customHeight="1">
      <c r="A165" s="246"/>
      <c r="C165" s="245"/>
      <c r="D165" s="2158"/>
      <c r="E165" s="2043"/>
      <c r="F165" s="2046"/>
      <c r="G165" s="2048"/>
      <c r="H165" s="2158"/>
      <c r="I165" s="2158"/>
      <c r="J165" s="2187"/>
      <c r="K165" s="2094"/>
      <c r="L165" s="2032"/>
      <c r="M165" s="2032"/>
      <c r="N165" s="2185"/>
      <c r="O165" s="2094"/>
      <c r="P165" s="2032"/>
      <c r="Q165" s="2032"/>
      <c r="R165" s="2162"/>
      <c r="S165" s="2222"/>
      <c r="T165" s="1946"/>
      <c r="U165" s="1947"/>
      <c r="V165" s="1947"/>
      <c r="W165" s="2187"/>
      <c r="Y165" s="1142"/>
      <c r="Z165" s="1142"/>
      <c r="AA165" s="1142"/>
      <c r="AB165" s="1142"/>
      <c r="AC165" s="1142"/>
      <c r="AD165" s="1142"/>
      <c r="AE165" s="1142"/>
      <c r="AF165" s="1142"/>
      <c r="AG165" s="1142"/>
      <c r="AH165" s="1142"/>
      <c r="AI165" s="1142"/>
      <c r="AJ165" s="1142"/>
      <c r="AK165" s="1142"/>
    </row>
    <row r="166" spans="1:43" s="1950" customFormat="1" ht="17.25" customHeight="1">
      <c r="A166" s="246"/>
      <c r="C166" s="245"/>
      <c r="D166" s="2042"/>
      <c r="E166" s="2044"/>
      <c r="F166" s="2046"/>
      <c r="G166" s="2049"/>
      <c r="H166" s="2042"/>
      <c r="I166" s="2042"/>
      <c r="J166" s="2188"/>
      <c r="K166" s="2094"/>
      <c r="L166" s="2042"/>
      <c r="M166" s="2042"/>
      <c r="N166" s="2186"/>
      <c r="O166" s="2036"/>
      <c r="P166" s="242"/>
      <c r="Q166" s="243"/>
      <c r="R166" s="243" t="s">
        <v>1437</v>
      </c>
      <c r="S166" s="240"/>
      <c r="T166" s="240"/>
      <c r="U166" s="240"/>
      <c r="V166" s="240"/>
      <c r="W166" s="1948"/>
      <c r="Y166" s="1142"/>
      <c r="Z166" s="1142"/>
      <c r="AA166" s="1142"/>
      <c r="AB166" s="1142"/>
      <c r="AC166" s="1142"/>
      <c r="AD166" s="1142"/>
      <c r="AE166" s="1142"/>
      <c r="AF166" s="1142"/>
      <c r="AG166" s="1142"/>
      <c r="AH166" s="1142"/>
      <c r="AI166" s="1142"/>
      <c r="AJ166" s="1142"/>
      <c r="AK166" s="1142"/>
    </row>
    <row r="167" spans="1:43" s="1950" customFormat="1" ht="17.25" customHeight="1">
      <c r="A167" s="246"/>
      <c r="C167" s="245"/>
      <c r="D167" s="2042"/>
      <c r="E167" s="2044"/>
      <c r="F167" s="2046"/>
      <c r="G167" s="2049"/>
      <c r="H167" s="2042"/>
      <c r="I167" s="2042"/>
      <c r="J167" s="2188"/>
      <c r="K167" s="2036"/>
      <c r="L167" s="242"/>
      <c r="M167" s="243"/>
      <c r="N167" s="243" t="s">
        <v>1438</v>
      </c>
      <c r="O167" s="243"/>
      <c r="P167" s="243"/>
      <c r="Q167" s="243"/>
      <c r="R167" s="243"/>
      <c r="S167" s="240"/>
      <c r="T167" s="240"/>
      <c r="U167" s="240"/>
      <c r="V167" s="240"/>
      <c r="W167" s="244"/>
      <c r="Y167" s="1142"/>
      <c r="Z167" s="1142"/>
      <c r="AA167" s="1142"/>
      <c r="AB167" s="1142"/>
      <c r="AC167" s="1142"/>
      <c r="AD167" s="1142"/>
      <c r="AE167" s="1142"/>
      <c r="AF167" s="1142"/>
      <c r="AG167" s="1142"/>
      <c r="AH167" s="1142"/>
      <c r="AI167" s="1142"/>
      <c r="AJ167" s="1142"/>
      <c r="AK167" s="1142"/>
    </row>
    <row r="168" spans="1:43" s="1950" customFormat="1" ht="17.25" customHeight="1">
      <c r="A168" s="246"/>
      <c r="C168" s="245"/>
      <c r="D168" s="2042"/>
      <c r="E168" s="2044"/>
      <c r="F168" s="2047"/>
      <c r="G168" s="2049"/>
      <c r="H168" s="242"/>
      <c r="I168" s="243"/>
      <c r="J168" s="243" t="s">
        <v>1439</v>
      </c>
      <c r="K168" s="243"/>
      <c r="L168" s="243"/>
      <c r="M168" s="243"/>
      <c r="N168" s="243"/>
      <c r="O168" s="243"/>
      <c r="P168" s="243"/>
      <c r="Q168" s="243"/>
      <c r="R168" s="243"/>
      <c r="S168" s="240"/>
      <c r="T168" s="240"/>
      <c r="U168" s="240"/>
      <c r="V168" s="240"/>
      <c r="W168" s="244"/>
      <c r="Y168" s="1142"/>
      <c r="Z168" s="1142"/>
      <c r="AA168" s="1142"/>
      <c r="AB168" s="1142"/>
      <c r="AC168" s="1142"/>
      <c r="AD168" s="1142"/>
      <c r="AE168" s="1142"/>
      <c r="AF168" s="1142"/>
      <c r="AG168" s="1142"/>
      <c r="AH168" s="1142"/>
      <c r="AI168" s="1142"/>
      <c r="AJ168" s="1142"/>
      <c r="AK168" s="1142"/>
    </row>
    <row r="169" spans="1:43" s="1753" customFormat="1" ht="17.25" customHeight="1">
      <c r="A169" s="82"/>
    </row>
    <row r="170" spans="1:43" s="1950" customFormat="1" ht="17.25" customHeight="1">
      <c r="A170" s="246"/>
      <c r="C170" s="131"/>
      <c r="D170" s="1621"/>
      <c r="E170" s="1937"/>
      <c r="F170" s="1613"/>
      <c r="G170" s="1938"/>
      <c r="H170" s="2158"/>
      <c r="I170" s="2158">
        <v>1</v>
      </c>
      <c r="J170" s="2187"/>
      <c r="K170" s="2093" t="s">
        <v>66</v>
      </c>
      <c r="L170" s="2032"/>
      <c r="M170" s="2032" t="s">
        <v>109</v>
      </c>
      <c r="N170" s="2185" t="str">
        <f>IF(Z170="","",INDEX(TERRITORY_MR_LIST,MATCH(Z170,TERRITORY_LIST_ID,0)))</f>
        <v/>
      </c>
      <c r="O170" s="2093" t="s">
        <v>66</v>
      </c>
      <c r="P170" s="2032"/>
      <c r="Q170" s="2032" t="s">
        <v>109</v>
      </c>
      <c r="R170" s="2162" t="s">
        <v>17</v>
      </c>
      <c r="S170" s="2222" t="s">
        <v>56</v>
      </c>
      <c r="T170" s="1615"/>
      <c r="U170" s="1615" t="s">
        <v>109</v>
      </c>
      <c r="V170" s="1303"/>
      <c r="W170" s="2187"/>
      <c r="Y170" s="1149"/>
      <c r="Z170" s="1149"/>
      <c r="AA170" s="1149"/>
      <c r="AB170" s="1149"/>
      <c r="AC170" s="1149"/>
      <c r="AD170" s="1149"/>
      <c r="AE170" s="1149"/>
      <c r="AF170" s="1149"/>
      <c r="AG170" s="1149"/>
      <c r="AH170" s="1149"/>
      <c r="AI170" s="1149"/>
      <c r="AJ170" s="1149"/>
      <c r="AK170" s="1149"/>
      <c r="AL170" s="165"/>
      <c r="AM170" s="165"/>
      <c r="AN170" s="1149"/>
      <c r="AO170" s="1149"/>
      <c r="AP170" s="1149"/>
      <c r="AQ170" s="1149"/>
    </row>
    <row r="171" spans="1:43" s="1950" customFormat="1" ht="17.25" customHeight="1">
      <c r="A171" s="246"/>
      <c r="C171" s="245"/>
      <c r="D171" s="1621"/>
      <c r="E171" s="1937"/>
      <c r="F171" s="1613"/>
      <c r="G171" s="1938"/>
      <c r="H171" s="2158"/>
      <c r="I171" s="2158"/>
      <c r="J171" s="2187"/>
      <c r="K171" s="2094"/>
      <c r="L171" s="2032"/>
      <c r="M171" s="2032"/>
      <c r="N171" s="2185"/>
      <c r="O171" s="2094"/>
      <c r="P171" s="2032"/>
      <c r="Q171" s="2032"/>
      <c r="R171" s="2162"/>
      <c r="S171" s="2222"/>
      <c r="T171" s="1304"/>
      <c r="U171" s="1305"/>
      <c r="V171" s="1305"/>
      <c r="W171" s="2187"/>
      <c r="Y171" s="1142"/>
      <c r="Z171" s="1142"/>
      <c r="AA171" s="1142"/>
      <c r="AB171" s="1142"/>
      <c r="AC171" s="1142"/>
      <c r="AD171" s="1142"/>
      <c r="AE171" s="1142"/>
      <c r="AF171" s="1142"/>
      <c r="AG171" s="1142"/>
      <c r="AH171" s="1142"/>
      <c r="AI171" s="1142"/>
      <c r="AJ171" s="1142"/>
      <c r="AK171" s="1142"/>
    </row>
    <row r="172" spans="1:43" s="1950" customFormat="1" ht="17.25" customHeight="1">
      <c r="A172" s="246"/>
      <c r="C172" s="245"/>
      <c r="D172" s="1621"/>
      <c r="E172" s="1937"/>
      <c r="F172" s="1613"/>
      <c r="G172" s="1938"/>
      <c r="H172" s="2042"/>
      <c r="I172" s="2042"/>
      <c r="J172" s="2188"/>
      <c r="K172" s="2094"/>
      <c r="L172" s="2042"/>
      <c r="M172" s="2042"/>
      <c r="N172" s="2186"/>
      <c r="O172" s="2036"/>
      <c r="P172" s="242"/>
      <c r="Q172" s="243"/>
      <c r="R172" s="243" t="s">
        <v>1437</v>
      </c>
      <c r="S172" s="240"/>
      <c r="T172" s="240"/>
      <c r="U172" s="240"/>
      <c r="V172" s="240"/>
      <c r="W172" s="1302"/>
      <c r="Y172" s="1142"/>
      <c r="Z172" s="1142"/>
      <c r="AA172" s="1142"/>
      <c r="AB172" s="1142"/>
      <c r="AC172" s="1142"/>
      <c r="AD172" s="1142"/>
      <c r="AE172" s="1142"/>
      <c r="AF172" s="1142"/>
      <c r="AG172" s="1142"/>
      <c r="AH172" s="1142"/>
      <c r="AI172" s="1142"/>
      <c r="AJ172" s="1142"/>
      <c r="AK172" s="1142"/>
    </row>
    <row r="173" spans="1:43" s="1950" customFormat="1" ht="17.25" customHeight="1">
      <c r="A173" s="246"/>
      <c r="C173" s="245"/>
      <c r="D173" s="1621"/>
      <c r="E173" s="1937"/>
      <c r="F173" s="1613"/>
      <c r="G173" s="1938"/>
      <c r="H173" s="2042"/>
      <c r="I173" s="2042"/>
      <c r="J173" s="2188"/>
      <c r="K173" s="2036"/>
      <c r="L173" s="242"/>
      <c r="M173" s="243"/>
      <c r="N173" s="243" t="s">
        <v>1438</v>
      </c>
      <c r="O173" s="243"/>
      <c r="P173" s="243"/>
      <c r="Q173" s="243"/>
      <c r="R173" s="243"/>
      <c r="S173" s="240"/>
      <c r="T173" s="240"/>
      <c r="U173" s="240"/>
      <c r="V173" s="240"/>
      <c r="W173" s="244"/>
      <c r="Y173" s="1142"/>
      <c r="Z173" s="1142"/>
      <c r="AA173" s="1142"/>
      <c r="AB173" s="1142"/>
      <c r="AC173" s="1142"/>
      <c r="AD173" s="1142"/>
      <c r="AE173" s="1142"/>
      <c r="AF173" s="1142"/>
      <c r="AG173" s="1142"/>
      <c r="AH173" s="1142"/>
      <c r="AI173" s="1142"/>
      <c r="AJ173" s="1142"/>
      <c r="AK173" s="1142"/>
    </row>
    <row r="174" spans="1:43" ht="17.25" customHeight="1">
      <c r="A174" s="82"/>
    </row>
    <row r="175" spans="1:43" s="1950" customFormat="1" ht="17.25" customHeight="1">
      <c r="A175" s="246"/>
      <c r="C175" s="131"/>
      <c r="D175" s="1621"/>
      <c r="E175" s="1937"/>
      <c r="F175" s="1613"/>
      <c r="G175" s="1938"/>
      <c r="H175" s="1621"/>
      <c r="I175" s="1621"/>
      <c r="J175" s="1949"/>
      <c r="K175" s="1938"/>
      <c r="L175" s="2032"/>
      <c r="M175" s="2032" t="s">
        <v>109</v>
      </c>
      <c r="N175" s="2185" t="str">
        <f>IF(Z175="","",INDEX(TERRITORY_MR_LIST,MATCH(Z175,TERRITORY_LIST_ID,0)))</f>
        <v/>
      </c>
      <c r="O175" s="2093" t="s">
        <v>66</v>
      </c>
      <c r="P175" s="2032"/>
      <c r="Q175" s="2032" t="s">
        <v>109</v>
      </c>
      <c r="R175" s="2162" t="s">
        <v>17</v>
      </c>
      <c r="S175" s="2222" t="s">
        <v>56</v>
      </c>
      <c r="T175" s="1615"/>
      <c r="U175" s="1615" t="s">
        <v>109</v>
      </c>
      <c r="V175" s="1303"/>
      <c r="W175" s="2187"/>
      <c r="Y175" s="1149"/>
      <c r="Z175" s="1149"/>
      <c r="AA175" s="1149"/>
      <c r="AB175" s="1149"/>
      <c r="AC175" s="1149"/>
      <c r="AD175" s="1149"/>
      <c r="AE175" s="1149"/>
      <c r="AF175" s="1149"/>
      <c r="AG175" s="1149"/>
      <c r="AH175" s="1149"/>
      <c r="AI175" s="1149"/>
      <c r="AJ175" s="1149"/>
      <c r="AK175" s="1149"/>
      <c r="AL175" s="165"/>
      <c r="AM175" s="165"/>
      <c r="AN175" s="1149"/>
      <c r="AO175" s="1149"/>
      <c r="AP175" s="1149"/>
      <c r="AQ175" s="1149"/>
    </row>
    <row r="176" spans="1:43" s="1950" customFormat="1" ht="17.25" customHeight="1">
      <c r="A176" s="246"/>
      <c r="C176" s="245"/>
      <c r="D176" s="1621"/>
      <c r="E176" s="1937"/>
      <c r="F176" s="1613"/>
      <c r="G176" s="1938"/>
      <c r="H176" s="1621"/>
      <c r="I176" s="1621"/>
      <c r="J176" s="1949"/>
      <c r="K176" s="1938"/>
      <c r="L176" s="2032"/>
      <c r="M176" s="2032"/>
      <c r="N176" s="2185"/>
      <c r="O176" s="2094"/>
      <c r="P176" s="2032"/>
      <c r="Q176" s="2032"/>
      <c r="R176" s="2162"/>
      <c r="S176" s="2222"/>
      <c r="T176" s="1304"/>
      <c r="U176" s="1305"/>
      <c r="V176" s="1305"/>
      <c r="W176" s="2187"/>
      <c r="Y176" s="1142"/>
      <c r="Z176" s="1142"/>
      <c r="AA176" s="1142"/>
      <c r="AB176" s="1142"/>
      <c r="AC176" s="1142"/>
      <c r="AD176" s="1142"/>
      <c r="AE176" s="1142"/>
      <c r="AF176" s="1142"/>
      <c r="AG176" s="1142"/>
      <c r="AH176" s="1142"/>
      <c r="AI176" s="1142"/>
      <c r="AJ176" s="1142"/>
      <c r="AK176" s="1142"/>
    </row>
    <row r="177" spans="1:63" s="1950" customFormat="1" ht="17.25" customHeight="1">
      <c r="A177" s="246"/>
      <c r="C177" s="245"/>
      <c r="D177" s="1621"/>
      <c r="E177" s="1937"/>
      <c r="F177" s="1613"/>
      <c r="G177" s="1938"/>
      <c r="H177" s="1621"/>
      <c r="I177" s="1621"/>
      <c r="J177" s="1949"/>
      <c r="K177" s="1938"/>
      <c r="L177" s="2042"/>
      <c r="M177" s="2042"/>
      <c r="N177" s="2186"/>
      <c r="O177" s="2036"/>
      <c r="P177" s="242"/>
      <c r="Q177" s="243"/>
      <c r="R177" s="243" t="s">
        <v>1437</v>
      </c>
      <c r="S177" s="240"/>
      <c r="T177" s="240"/>
      <c r="U177" s="240"/>
      <c r="V177" s="240"/>
      <c r="W177" s="1302"/>
      <c r="Y177" s="1142"/>
      <c r="Z177" s="1142"/>
      <c r="AA177" s="1142"/>
      <c r="AB177" s="1142"/>
      <c r="AC177" s="1142"/>
      <c r="AD177" s="1142"/>
      <c r="AE177" s="1142"/>
      <c r="AF177" s="1142"/>
      <c r="AG177" s="1142"/>
      <c r="AH177" s="1142"/>
      <c r="AI177" s="1142"/>
      <c r="AJ177" s="1142"/>
      <c r="AK177" s="1142"/>
    </row>
    <row r="178" spans="1:63" s="1753" customFormat="1" ht="17.25" customHeight="1">
      <c r="A178" s="82"/>
    </row>
    <row r="179" spans="1:63" s="1950" customFormat="1" ht="17.25" customHeight="1">
      <c r="A179" s="246"/>
      <c r="C179" s="131"/>
      <c r="D179" s="1621"/>
      <c r="E179" s="1937"/>
      <c r="F179" s="1613"/>
      <c r="G179" s="1938"/>
      <c r="H179" s="1621"/>
      <c r="I179" s="1621"/>
      <c r="J179" s="1949"/>
      <c r="K179" s="1938"/>
      <c r="L179" s="1621"/>
      <c r="M179" s="1621"/>
      <c r="N179" s="1942"/>
      <c r="O179" s="1614"/>
      <c r="P179" s="2032"/>
      <c r="Q179" s="2032" t="s">
        <v>109</v>
      </c>
      <c r="R179" s="2162" t="s">
        <v>17</v>
      </c>
      <c r="S179" s="2222" t="s">
        <v>56</v>
      </c>
      <c r="T179" s="1615"/>
      <c r="U179" s="1615" t="s">
        <v>109</v>
      </c>
      <c r="V179" s="1303"/>
      <c r="W179" s="2187"/>
      <c r="Y179" s="1149"/>
      <c r="Z179" s="1149"/>
      <c r="AA179" s="1149"/>
      <c r="AB179" s="1149"/>
      <c r="AC179" s="1149"/>
      <c r="AD179" s="1149"/>
      <c r="AE179" s="1149"/>
      <c r="AF179" s="1149"/>
      <c r="AG179" s="1149"/>
      <c r="AH179" s="1149"/>
      <c r="AI179" s="1149"/>
      <c r="AJ179" s="1149"/>
      <c r="AK179" s="1149"/>
      <c r="AL179" s="165"/>
      <c r="AM179" s="165"/>
      <c r="AN179" s="1149"/>
      <c r="AO179" s="1149"/>
      <c r="AP179" s="1149"/>
      <c r="AQ179" s="1149"/>
    </row>
    <row r="180" spans="1:63" s="1950" customFormat="1" ht="17.25" customHeight="1">
      <c r="A180" s="246"/>
      <c r="C180" s="245"/>
      <c r="D180" s="1621"/>
      <c r="E180" s="1937"/>
      <c r="F180" s="1613"/>
      <c r="G180" s="1938"/>
      <c r="H180" s="1621"/>
      <c r="I180" s="1621"/>
      <c r="J180" s="1949"/>
      <c r="K180" s="1938"/>
      <c r="L180" s="1621"/>
      <c r="M180" s="1621"/>
      <c r="N180" s="1942"/>
      <c r="O180" s="1614"/>
      <c r="P180" s="2032"/>
      <c r="Q180" s="2032"/>
      <c r="R180" s="2162"/>
      <c r="S180" s="2222"/>
      <c r="T180" s="1304"/>
      <c r="U180" s="1305"/>
      <c r="V180" s="1305"/>
      <c r="W180" s="2187"/>
      <c r="Y180" s="1142"/>
      <c r="Z180" s="1142"/>
      <c r="AA180" s="1142"/>
      <c r="AB180" s="1142"/>
      <c r="AC180" s="1142"/>
      <c r="AD180" s="1142"/>
      <c r="AE180" s="1142"/>
      <c r="AF180" s="1142"/>
      <c r="AG180" s="1142"/>
      <c r="AH180" s="1142"/>
      <c r="AI180" s="1142"/>
      <c r="AJ180" s="1142"/>
      <c r="AK180" s="1142"/>
    </row>
    <row r="181" spans="1:63" s="1753" customFormat="1" ht="17.25" customHeight="1">
      <c r="A181" s="82"/>
    </row>
    <row r="182" spans="1:63" ht="16.5" customHeight="1">
      <c r="A182" s="81"/>
      <c r="B182" s="1950"/>
      <c r="C182" s="63"/>
      <c r="D182" s="2158"/>
      <c r="E182" s="2090"/>
      <c r="F182" s="2090"/>
      <c r="G182" s="2021"/>
      <c r="H182" s="2050"/>
      <c r="I182" s="2052"/>
      <c r="J182" s="2054"/>
      <c r="K182" s="2039"/>
      <c r="L182" s="2039"/>
      <c r="M182" s="2039"/>
      <c r="N182" s="2057"/>
      <c r="O182" s="2039"/>
      <c r="P182" s="2039"/>
      <c r="Q182" s="2039"/>
      <c r="R182" s="2060"/>
      <c r="S182" s="2039"/>
      <c r="T182" s="1179"/>
      <c r="U182" s="1179"/>
      <c r="V182" s="1180"/>
      <c r="W182" s="1951"/>
    </row>
    <row r="183" spans="1:63" s="1753" customFormat="1" ht="16.5" customHeight="1">
      <c r="A183" s="246"/>
      <c r="B183" s="241"/>
      <c r="C183" s="245"/>
      <c r="D183" s="2158"/>
      <c r="E183" s="2090"/>
      <c r="F183" s="2090"/>
      <c r="G183" s="2021"/>
      <c r="H183" s="2051"/>
      <c r="I183" s="2053"/>
      <c r="J183" s="2055"/>
      <c r="K183" s="2040"/>
      <c r="L183" s="2040"/>
      <c r="M183" s="2040"/>
      <c r="N183" s="2058"/>
      <c r="O183" s="2040"/>
      <c r="P183" s="2040"/>
      <c r="Q183" s="2040"/>
      <c r="R183" s="2059"/>
      <c r="S183" s="2040"/>
      <c r="T183" s="1953"/>
      <c r="U183" s="1953"/>
      <c r="V183" s="1953"/>
      <c r="W183" s="1954"/>
    </row>
    <row r="184" spans="1:63" ht="17.25" customHeight="1">
      <c r="A184" s="81"/>
      <c r="B184" s="1950"/>
      <c r="C184" s="63"/>
      <c r="D184" s="2158"/>
      <c r="E184" s="2090"/>
      <c r="F184" s="2090"/>
      <c r="G184" s="2021"/>
      <c r="H184" s="2051"/>
      <c r="I184" s="2053"/>
      <c r="J184" s="2056"/>
      <c r="K184" s="2040"/>
      <c r="L184" s="2040"/>
      <c r="M184" s="2040"/>
      <c r="N184" s="2059"/>
      <c r="O184" s="2040"/>
      <c r="P184" s="1184"/>
      <c r="Q184" s="1182"/>
      <c r="R184" s="1182"/>
      <c r="S184" s="255"/>
      <c r="T184" s="255"/>
      <c r="U184" s="255"/>
      <c r="V184" s="255"/>
      <c r="W184" s="1183"/>
    </row>
    <row r="185" spans="1:63" ht="17.25" customHeight="1">
      <c r="A185" s="81"/>
      <c r="B185" s="1950"/>
      <c r="C185" s="63"/>
      <c r="D185" s="2158"/>
      <c r="E185" s="2090"/>
      <c r="F185" s="2090"/>
      <c r="G185" s="2021"/>
      <c r="H185" s="2051"/>
      <c r="I185" s="2053"/>
      <c r="J185" s="2056"/>
      <c r="K185" s="2040"/>
      <c r="L185" s="1182"/>
      <c r="M185" s="1182"/>
      <c r="N185" s="1182"/>
      <c r="O185" s="1182"/>
      <c r="P185" s="1182"/>
      <c r="Q185" s="1182"/>
      <c r="R185" s="1182"/>
      <c r="S185" s="255"/>
      <c r="T185" s="255"/>
      <c r="U185" s="255"/>
      <c r="V185" s="255"/>
      <c r="W185" s="1183"/>
    </row>
    <row r="186" spans="1:63" ht="17.25" customHeight="1">
      <c r="A186" s="81"/>
      <c r="B186" s="1950"/>
      <c r="C186" s="63"/>
      <c r="D186" s="2158"/>
      <c r="E186" s="2090"/>
      <c r="F186" s="2090"/>
      <c r="G186" s="2021"/>
      <c r="H186" s="1955"/>
      <c r="I186" s="1956"/>
      <c r="J186" s="1956"/>
      <c r="K186" s="1956"/>
      <c r="L186" s="1956"/>
      <c r="M186" s="1956"/>
      <c r="N186" s="1956"/>
      <c r="O186" s="1956"/>
      <c r="P186" s="1956"/>
      <c r="Q186" s="1956"/>
      <c r="R186" s="1956"/>
      <c r="S186" s="1957"/>
      <c r="T186" s="1957"/>
      <c r="U186" s="1957"/>
      <c r="V186" s="1957"/>
      <c r="W186" s="1958"/>
    </row>
    <row r="187" spans="1:63" s="1753" customFormat="1" ht="17.25" customHeight="1"/>
    <row r="188" spans="1:63" s="1754" customFormat="1" ht="17.25" customHeight="1">
      <c r="A188" s="21" t="s">
        <v>1441</v>
      </c>
    </row>
    <row r="189" spans="1:63" s="1753" customFormat="1" ht="17.25" customHeight="1">
      <c r="G189" s="1928"/>
      <c r="H189" s="1928"/>
      <c r="I189" s="1928"/>
      <c r="M189" s="1373"/>
    </row>
    <row r="190" spans="1:63" s="1753" customFormat="1" ht="14.25" customHeight="1">
      <c r="D190" s="2214"/>
      <c r="E190" s="2085"/>
      <c r="F190" s="2085"/>
      <c r="G190" s="2093"/>
      <c r="H190" s="1435"/>
      <c r="I190" s="2215">
        <v>1</v>
      </c>
      <c r="J190" s="2187"/>
      <c r="K190" s="1446"/>
      <c r="L190" s="2093" t="s">
        <v>66</v>
      </c>
      <c r="M190" s="2093" t="s">
        <v>66</v>
      </c>
      <c r="N190" s="1435"/>
      <c r="O190" s="2032" t="s">
        <v>109</v>
      </c>
      <c r="P190" s="2208"/>
      <c r="Q190" s="1959"/>
      <c r="R190" s="2093" t="s">
        <v>66</v>
      </c>
      <c r="S190" s="2093" t="s">
        <v>66</v>
      </c>
      <c r="T190" s="1436"/>
      <c r="U190" s="2032" t="s">
        <v>109</v>
      </c>
      <c r="V190" s="2210" t="str">
        <f>IF(AK190="","",INDEX(TERRITORY_MR_LIST,MATCH(AK190,TERRITORY_LIST_ID,0)))</f>
        <v/>
      </c>
      <c r="W190" s="1447"/>
      <c r="X190" s="2093" t="s">
        <v>66</v>
      </c>
      <c r="Y190" s="2093" t="s">
        <v>56</v>
      </c>
      <c r="Z190" s="1435"/>
      <c r="AA190" s="2032" t="s">
        <v>109</v>
      </c>
      <c r="AB190" s="2212"/>
      <c r="AC190" s="1448"/>
      <c r="AD190" s="2093" t="s">
        <v>66</v>
      </c>
      <c r="AE190" s="2093" t="s">
        <v>56</v>
      </c>
      <c r="AF190" s="1433"/>
      <c r="AG190" s="1377" t="s">
        <v>109</v>
      </c>
      <c r="AH190" s="1960"/>
      <c r="AI190" s="1378"/>
      <c r="BK190" s="357"/>
    </row>
    <row r="191" spans="1:63" s="1753" customFormat="1" ht="14.25" customHeight="1">
      <c r="D191" s="2214"/>
      <c r="E191" s="2085"/>
      <c r="F191" s="2085"/>
      <c r="G191" s="2094"/>
      <c r="H191" s="1435"/>
      <c r="I191" s="2215"/>
      <c r="J191" s="2187"/>
      <c r="K191" s="1434"/>
      <c r="L191" s="2094"/>
      <c r="M191" s="2094"/>
      <c r="N191" s="1435"/>
      <c r="O191" s="2032"/>
      <c r="P191" s="2208"/>
      <c r="Q191" s="1961"/>
      <c r="R191" s="2094"/>
      <c r="S191" s="2094"/>
      <c r="T191" s="1436"/>
      <c r="U191" s="2032"/>
      <c r="V191" s="2211"/>
      <c r="W191" s="1432"/>
      <c r="X191" s="2094"/>
      <c r="Y191" s="2094"/>
      <c r="Z191" s="1435"/>
      <c r="AA191" s="2032"/>
      <c r="AB191" s="2213"/>
      <c r="AC191" s="1437"/>
      <c r="AD191" s="2036"/>
      <c r="AE191" s="2036"/>
      <c r="AF191" s="1962"/>
      <c r="AG191" s="1963"/>
      <c r="AH191" s="2217" t="s">
        <v>1442</v>
      </c>
      <c r="AI191" s="2218"/>
      <c r="BK191" s="357"/>
    </row>
    <row r="192" spans="1:63" s="1753" customFormat="1" ht="14.25" customHeight="1">
      <c r="D192" s="2214"/>
      <c r="E192" s="2085"/>
      <c r="F192" s="2085"/>
      <c r="G192" s="2094"/>
      <c r="H192" s="1435"/>
      <c r="I192" s="2215"/>
      <c r="J192" s="2187"/>
      <c r="K192" s="1434"/>
      <c r="L192" s="2094"/>
      <c r="M192" s="2094"/>
      <c r="N192" s="1435"/>
      <c r="O192" s="2032"/>
      <c r="P192" s="2208"/>
      <c r="Q192" s="1961"/>
      <c r="R192" s="2094"/>
      <c r="S192" s="2094"/>
      <c r="T192" s="1436"/>
      <c r="U192" s="2032"/>
      <c r="V192" s="2211"/>
      <c r="W192" s="1432"/>
      <c r="X192" s="2094"/>
      <c r="Y192" s="2094"/>
      <c r="Z192" s="1470"/>
      <c r="AA192" s="1439"/>
      <c r="AB192" s="2219" t="s">
        <v>1443</v>
      </c>
      <c r="AC192" s="2219"/>
      <c r="AD192" s="2219"/>
      <c r="AE192" s="2219"/>
      <c r="AF192" s="2219"/>
      <c r="AG192" s="2219"/>
      <c r="AH192" s="2219"/>
      <c r="AI192" s="2220"/>
      <c r="BK192" s="357"/>
    </row>
    <row r="193" spans="1:63" s="1753" customFormat="1" ht="14.25" customHeight="1">
      <c r="D193" s="2214"/>
      <c r="E193" s="2085"/>
      <c r="F193" s="2085"/>
      <c r="G193" s="2094"/>
      <c r="H193" s="1435"/>
      <c r="I193" s="2215"/>
      <c r="J193" s="2187"/>
      <c r="K193" s="1434"/>
      <c r="L193" s="2094"/>
      <c r="M193" s="2094"/>
      <c r="N193" s="1435"/>
      <c r="O193" s="2032"/>
      <c r="P193" s="2221"/>
      <c r="Q193" s="1961"/>
      <c r="R193" s="2094"/>
      <c r="S193" s="2094"/>
      <c r="T193" s="1469"/>
      <c r="U193" s="1964"/>
      <c r="V193" s="2217" t="s">
        <v>103</v>
      </c>
      <c r="W193" s="2217"/>
      <c r="X193" s="2217"/>
      <c r="Y193" s="2217"/>
      <c r="Z193" s="2217"/>
      <c r="AA193" s="2217"/>
      <c r="AB193" s="2217"/>
      <c r="AC193" s="2217"/>
      <c r="AD193" s="2217"/>
      <c r="AE193" s="2217"/>
      <c r="AF193" s="2217"/>
      <c r="AG193" s="2217"/>
      <c r="AH193" s="2217"/>
      <c r="AI193" s="2218"/>
      <c r="BK193" s="357"/>
    </row>
    <row r="194" spans="1:63" s="1753" customFormat="1" ht="11.25" customHeight="1">
      <c r="D194" s="2214"/>
      <c r="E194" s="2085"/>
      <c r="F194" s="2085"/>
      <c r="G194" s="2094"/>
      <c r="H194" s="1438"/>
      <c r="I194" s="2215"/>
      <c r="J194" s="2216"/>
      <c r="K194" s="1434"/>
      <c r="L194" s="2094"/>
      <c r="M194" s="2094"/>
      <c r="N194" s="1438"/>
      <c r="O194" s="1965"/>
      <c r="P194" s="2217" t="s">
        <v>1444</v>
      </c>
      <c r="Q194" s="2217"/>
      <c r="R194" s="2217"/>
      <c r="S194" s="2217"/>
      <c r="T194" s="2217"/>
      <c r="U194" s="2217"/>
      <c r="V194" s="2217"/>
      <c r="W194" s="2217"/>
      <c r="X194" s="2217"/>
      <c r="Y194" s="2217"/>
      <c r="Z194" s="2217"/>
      <c r="AA194" s="2217"/>
      <c r="AB194" s="2217"/>
      <c r="AC194" s="2217"/>
      <c r="AD194" s="2217"/>
      <c r="AE194" s="2217"/>
      <c r="AF194" s="2217"/>
      <c r="AG194" s="2217"/>
      <c r="AH194" s="2217"/>
      <c r="AI194" s="2218"/>
      <c r="BK194" s="357"/>
    </row>
    <row r="195" spans="1:63" s="1642" customFormat="1" ht="11.25" customHeight="1">
      <c r="D195" s="2214"/>
      <c r="E195" s="2085"/>
      <c r="F195" s="2085"/>
      <c r="G195" s="2036"/>
      <c r="H195" s="1966"/>
      <c r="I195" s="1967"/>
      <c r="J195" s="2217" t="s">
        <v>1439</v>
      </c>
      <c r="K195" s="2217"/>
      <c r="L195" s="2217"/>
      <c r="M195" s="2217"/>
      <c r="N195" s="2217"/>
      <c r="O195" s="2217"/>
      <c r="P195" s="2217"/>
      <c r="Q195" s="2217"/>
      <c r="R195" s="2217"/>
      <c r="S195" s="2217"/>
      <c r="T195" s="2217"/>
      <c r="U195" s="2217"/>
      <c r="V195" s="2217"/>
      <c r="W195" s="2217"/>
      <c r="X195" s="2217"/>
      <c r="Y195" s="2217"/>
      <c r="Z195" s="2217"/>
      <c r="AA195" s="2217"/>
      <c r="AB195" s="2217"/>
      <c r="AC195" s="2217"/>
      <c r="AD195" s="2217"/>
      <c r="AE195" s="2217"/>
      <c r="AF195" s="2217"/>
      <c r="AG195" s="2217"/>
      <c r="AH195" s="2217"/>
      <c r="AI195" s="2218"/>
      <c r="BK195" s="1441"/>
    </row>
    <row r="196" spans="1:63" s="1753" customFormat="1" ht="17.25" customHeight="1">
      <c r="G196" s="1928"/>
      <c r="I196" s="1928"/>
      <c r="J196" s="1928"/>
      <c r="N196" s="1373"/>
    </row>
    <row r="197" spans="1:63" s="1753" customFormat="1" ht="14.25" customHeight="1">
      <c r="D197" s="2214"/>
      <c r="E197" s="2085"/>
      <c r="F197" s="2085"/>
      <c r="G197" s="2090"/>
      <c r="H197" s="1465"/>
      <c r="I197" s="2095"/>
      <c r="J197" s="2054"/>
      <c r="K197" s="1376"/>
      <c r="L197" s="2039"/>
      <c r="M197" s="2039"/>
      <c r="N197" s="1450"/>
      <c r="O197" s="2039"/>
      <c r="P197" s="2054"/>
      <c r="Q197" s="1451"/>
      <c r="R197" s="2039"/>
      <c r="S197" s="2039"/>
      <c r="T197" s="1452"/>
      <c r="U197" s="2039"/>
      <c r="V197" s="2054"/>
      <c r="W197" s="1453"/>
      <c r="X197" s="2039"/>
      <c r="Y197" s="2039"/>
      <c r="Z197" s="1450"/>
      <c r="AA197" s="2039"/>
      <c r="AB197" s="2054"/>
      <c r="AC197" s="1454"/>
      <c r="AD197" s="2039"/>
      <c r="AE197" s="2039"/>
      <c r="AF197" s="1375"/>
      <c r="AG197" s="1375"/>
      <c r="AH197" s="1968"/>
      <c r="AI197" s="1181"/>
      <c r="BK197" s="357"/>
    </row>
    <row r="198" spans="1:63" s="1753" customFormat="1" ht="14.25" customHeight="1">
      <c r="D198" s="2214"/>
      <c r="E198" s="2085"/>
      <c r="F198" s="2085"/>
      <c r="G198" s="2090"/>
      <c r="H198" s="1466"/>
      <c r="I198" s="2096"/>
      <c r="J198" s="2055"/>
      <c r="K198" s="1449"/>
      <c r="L198" s="2040"/>
      <c r="M198" s="2040"/>
      <c r="N198" s="1456"/>
      <c r="O198" s="2040"/>
      <c r="P198" s="2055"/>
      <c r="Q198" s="1457"/>
      <c r="R198" s="2040"/>
      <c r="S198" s="2040"/>
      <c r="T198" s="1458"/>
      <c r="U198" s="2040"/>
      <c r="V198" s="2055"/>
      <c r="W198" s="1459"/>
      <c r="X198" s="2040"/>
      <c r="Y198" s="2040"/>
      <c r="Z198" s="1456"/>
      <c r="AA198" s="2040"/>
      <c r="AB198" s="2055"/>
      <c r="AC198" s="1460"/>
      <c r="AD198" s="2040"/>
      <c r="AE198" s="2040"/>
      <c r="AF198" s="1461"/>
      <c r="AG198" s="1461"/>
      <c r="AH198" s="2099"/>
      <c r="AI198" s="2100"/>
      <c r="BK198" s="357"/>
    </row>
    <row r="199" spans="1:63" s="1753" customFormat="1" ht="14.25" customHeight="1">
      <c r="D199" s="2214"/>
      <c r="E199" s="2085"/>
      <c r="F199" s="2085"/>
      <c r="G199" s="2090"/>
      <c r="H199" s="1466"/>
      <c r="I199" s="2096"/>
      <c r="J199" s="2055"/>
      <c r="K199" s="1449"/>
      <c r="L199" s="2040"/>
      <c r="M199" s="2040"/>
      <c r="N199" s="1456"/>
      <c r="O199" s="2040"/>
      <c r="P199" s="2055"/>
      <c r="Q199" s="1457"/>
      <c r="R199" s="2040"/>
      <c r="S199" s="2040"/>
      <c r="T199" s="1458"/>
      <c r="U199" s="2040"/>
      <c r="V199" s="2055"/>
      <c r="W199" s="1459"/>
      <c r="X199" s="2040"/>
      <c r="Y199" s="2040"/>
      <c r="Z199" s="1374"/>
      <c r="AA199" s="1461"/>
      <c r="AB199" s="2099"/>
      <c r="AC199" s="2099"/>
      <c r="AD199" s="2099"/>
      <c r="AE199" s="2099"/>
      <c r="AF199" s="2099"/>
      <c r="AG199" s="2099"/>
      <c r="AH199" s="2099"/>
      <c r="AI199" s="2100"/>
      <c r="BK199" s="357"/>
    </row>
    <row r="200" spans="1:63" s="1753" customFormat="1" ht="14.25" customHeight="1">
      <c r="D200" s="2214"/>
      <c r="E200" s="2085"/>
      <c r="F200" s="2085"/>
      <c r="G200" s="2090"/>
      <c r="H200" s="1466"/>
      <c r="I200" s="2096"/>
      <c r="J200" s="2055"/>
      <c r="K200" s="1449"/>
      <c r="L200" s="2040"/>
      <c r="M200" s="2040"/>
      <c r="N200" s="1456"/>
      <c r="O200" s="2040"/>
      <c r="P200" s="2055"/>
      <c r="Q200" s="1457"/>
      <c r="R200" s="2040"/>
      <c r="S200" s="2040"/>
      <c r="T200" s="1462"/>
      <c r="U200" s="1969"/>
      <c r="V200" s="2099"/>
      <c r="W200" s="2099"/>
      <c r="X200" s="2099"/>
      <c r="Y200" s="2099"/>
      <c r="Z200" s="2099"/>
      <c r="AA200" s="2099"/>
      <c r="AB200" s="2099"/>
      <c r="AC200" s="2099"/>
      <c r="AD200" s="2099"/>
      <c r="AE200" s="2099"/>
      <c r="AF200" s="2099"/>
      <c r="AG200" s="2099"/>
      <c r="AH200" s="2099"/>
      <c r="AI200" s="2100"/>
      <c r="BK200" s="357"/>
    </row>
    <row r="201" spans="1:63" s="1753" customFormat="1" ht="11.25" customHeight="1">
      <c r="D201" s="2214"/>
      <c r="E201" s="2085"/>
      <c r="F201" s="2085"/>
      <c r="G201" s="2090"/>
      <c r="H201" s="1970"/>
      <c r="I201" s="2096"/>
      <c r="J201" s="2055"/>
      <c r="K201" s="1449"/>
      <c r="L201" s="2040"/>
      <c r="M201" s="2040"/>
      <c r="N201" s="1461"/>
      <c r="O201" s="1461"/>
      <c r="P201" s="2099"/>
      <c r="Q201" s="2099"/>
      <c r="R201" s="2099"/>
      <c r="S201" s="2099"/>
      <c r="T201" s="2099"/>
      <c r="U201" s="2099"/>
      <c r="V201" s="2099"/>
      <c r="W201" s="2099"/>
      <c r="X201" s="2099"/>
      <c r="Y201" s="2099"/>
      <c r="Z201" s="2099"/>
      <c r="AA201" s="2099"/>
      <c r="AB201" s="2099"/>
      <c r="AC201" s="2099"/>
      <c r="AD201" s="2099"/>
      <c r="AE201" s="2099"/>
      <c r="AF201" s="2099"/>
      <c r="AG201" s="2099"/>
      <c r="AH201" s="2099"/>
      <c r="AI201" s="2100"/>
      <c r="BK201" s="357"/>
    </row>
    <row r="202" spans="1:63" s="1642" customFormat="1" ht="11.25" customHeight="1">
      <c r="D202" s="2214"/>
      <c r="E202" s="2085"/>
      <c r="F202" s="2085"/>
      <c r="G202" s="2101"/>
      <c r="H202" s="1971"/>
      <c r="I202" s="1972"/>
      <c r="J202" s="2097"/>
      <c r="K202" s="2097"/>
      <c r="L202" s="2097"/>
      <c r="M202" s="2097"/>
      <c r="N202" s="2097"/>
      <c r="O202" s="2097"/>
      <c r="P202" s="2097"/>
      <c r="Q202" s="2097"/>
      <c r="R202" s="2097"/>
      <c r="S202" s="2097"/>
      <c r="T202" s="2097"/>
      <c r="U202" s="2097"/>
      <c r="V202" s="2097"/>
      <c r="W202" s="2097"/>
      <c r="X202" s="2097"/>
      <c r="Y202" s="2097"/>
      <c r="Z202" s="2097"/>
      <c r="AA202" s="2097"/>
      <c r="AB202" s="2097"/>
      <c r="AC202" s="2097"/>
      <c r="AD202" s="2097"/>
      <c r="AE202" s="2097"/>
      <c r="AF202" s="2097"/>
      <c r="AG202" s="2097"/>
      <c r="AH202" s="2097"/>
      <c r="AI202" s="2098"/>
      <c r="BK202" s="1441"/>
    </row>
    <row r="203" spans="1:63" ht="17.25" customHeight="1">
      <c r="A203" s="82"/>
    </row>
  </sheetData>
  <sheetProtection formatColumns="0" formatRows="0" insertRows="0" deleteColumns="0" deleteRows="0" sort="0" autoFilter="0"/>
  <mergeCells count="285">
    <mergeCell ref="P179:P180"/>
    <mergeCell ref="Q179:Q180"/>
    <mergeCell ref="R179:R180"/>
    <mergeCell ref="S179:S180"/>
    <mergeCell ref="W179:W180"/>
    <mergeCell ref="W170:W171"/>
    <mergeCell ref="L175:L177"/>
    <mergeCell ref="M175:M177"/>
    <mergeCell ref="N175:N177"/>
    <mergeCell ref="O175:O177"/>
    <mergeCell ref="P175:P176"/>
    <mergeCell ref="Q175:Q176"/>
    <mergeCell ref="R175:R176"/>
    <mergeCell ref="S175:S176"/>
    <mergeCell ref="W175:W176"/>
    <mergeCell ref="P157:P158"/>
    <mergeCell ref="Q157:Q158"/>
    <mergeCell ref="R157:R158"/>
    <mergeCell ref="S157:S158"/>
    <mergeCell ref="H170:H173"/>
    <mergeCell ref="I170:I173"/>
    <mergeCell ref="J170:J173"/>
    <mergeCell ref="K170:K173"/>
    <mergeCell ref="L170:L172"/>
    <mergeCell ref="M170:M172"/>
    <mergeCell ref="N170:N172"/>
    <mergeCell ref="O170:O172"/>
    <mergeCell ref="P170:P171"/>
    <mergeCell ref="Q170:Q171"/>
    <mergeCell ref="R170:R171"/>
    <mergeCell ref="S170:S171"/>
    <mergeCell ref="S164:S165"/>
    <mergeCell ref="O148:O150"/>
    <mergeCell ref="P148:P149"/>
    <mergeCell ref="Q148:Q149"/>
    <mergeCell ref="R148:R149"/>
    <mergeCell ref="S148:S149"/>
    <mergeCell ref="L153:L155"/>
    <mergeCell ref="M153:M155"/>
    <mergeCell ref="N153:N155"/>
    <mergeCell ref="O153:O155"/>
    <mergeCell ref="P153:P154"/>
    <mergeCell ref="Q153:Q154"/>
    <mergeCell ref="R153:R154"/>
    <mergeCell ref="S153:S154"/>
    <mergeCell ref="AF89:AF93"/>
    <mergeCell ref="AG89:AG93"/>
    <mergeCell ref="AH89:AH93"/>
    <mergeCell ref="AI89:AI93"/>
    <mergeCell ref="AJ89:AJ93"/>
    <mergeCell ref="AK89:AK93"/>
    <mergeCell ref="N90:N92"/>
    <mergeCell ref="O90:O92"/>
    <mergeCell ref="P90:P92"/>
    <mergeCell ref="Q90:Q92"/>
    <mergeCell ref="R90:R92"/>
    <mergeCell ref="S90:S92"/>
    <mergeCell ref="T90:T92"/>
    <mergeCell ref="U90:U92"/>
    <mergeCell ref="V90:V92"/>
    <mergeCell ref="W90:W92"/>
    <mergeCell ref="X90:X92"/>
    <mergeCell ref="Y90:Y92"/>
    <mergeCell ref="S79:S81"/>
    <mergeCell ref="T79:T81"/>
    <mergeCell ref="U79:U81"/>
    <mergeCell ref="V79:V81"/>
    <mergeCell ref="W79:W81"/>
    <mergeCell ref="X79:X81"/>
    <mergeCell ref="Y79:Y81"/>
    <mergeCell ref="H89:H93"/>
    <mergeCell ref="I89:I93"/>
    <mergeCell ref="J89:J93"/>
    <mergeCell ref="K89:K93"/>
    <mergeCell ref="L89:L93"/>
    <mergeCell ref="M89:M93"/>
    <mergeCell ref="AB197:AB198"/>
    <mergeCell ref="AD197:AD198"/>
    <mergeCell ref="AE197:AE198"/>
    <mergeCell ref="AH198:AI198"/>
    <mergeCell ref="AB199:AI199"/>
    <mergeCell ref="V200:AI200"/>
    <mergeCell ref="P201:AI201"/>
    <mergeCell ref="J202:AI202"/>
    <mergeCell ref="AD190:AD191"/>
    <mergeCell ref="AE190:AE191"/>
    <mergeCell ref="AH191:AI191"/>
    <mergeCell ref="AB192:AI192"/>
    <mergeCell ref="V193:AI193"/>
    <mergeCell ref="P194:AI194"/>
    <mergeCell ref="J195:AI195"/>
    <mergeCell ref="P197:P200"/>
    <mergeCell ref="R197:R200"/>
    <mergeCell ref="S197:S200"/>
    <mergeCell ref="U197:U199"/>
    <mergeCell ref="V197:V199"/>
    <mergeCell ref="X197:X199"/>
    <mergeCell ref="Y197:Y199"/>
    <mergeCell ref="AA197:AA198"/>
    <mergeCell ref="P190:P193"/>
    <mergeCell ref="D197:D202"/>
    <mergeCell ref="E197:E202"/>
    <mergeCell ref="F197:F202"/>
    <mergeCell ref="G197:G202"/>
    <mergeCell ref="I197:I201"/>
    <mergeCell ref="J197:J201"/>
    <mergeCell ref="L197:L201"/>
    <mergeCell ref="M197:M201"/>
    <mergeCell ref="O197:O200"/>
    <mergeCell ref="R190:R193"/>
    <mergeCell ref="S190:S193"/>
    <mergeCell ref="U190:U192"/>
    <mergeCell ref="V190:V192"/>
    <mergeCell ref="X190:X192"/>
    <mergeCell ref="Y190:Y192"/>
    <mergeCell ref="AA190:AA191"/>
    <mergeCell ref="AB190:AB191"/>
    <mergeCell ref="D190:D195"/>
    <mergeCell ref="E190:E195"/>
    <mergeCell ref="F190:F195"/>
    <mergeCell ref="G190:G195"/>
    <mergeCell ref="I190:I194"/>
    <mergeCell ref="J190:J194"/>
    <mergeCell ref="L190:L194"/>
    <mergeCell ref="M190:M194"/>
    <mergeCell ref="O190:O193"/>
    <mergeCell ref="W164:W165"/>
    <mergeCell ref="D164:D168"/>
    <mergeCell ref="E164:E168"/>
    <mergeCell ref="F164:F168"/>
    <mergeCell ref="G164:G168"/>
    <mergeCell ref="H164:H167"/>
    <mergeCell ref="I164:I167"/>
    <mergeCell ref="J164:J167"/>
    <mergeCell ref="K164:K167"/>
    <mergeCell ref="L164:L166"/>
    <mergeCell ref="AJ70:AJ74"/>
    <mergeCell ref="AK70:AK74"/>
    <mergeCell ref="I75:K75"/>
    <mergeCell ref="F70:F75"/>
    <mergeCell ref="AF70:AF74"/>
    <mergeCell ref="AG70:AG74"/>
    <mergeCell ref="AH70:AH74"/>
    <mergeCell ref="AI70:AI74"/>
    <mergeCell ref="S71:S73"/>
    <mergeCell ref="T71:T73"/>
    <mergeCell ref="U71:U73"/>
    <mergeCell ref="V71:V73"/>
    <mergeCell ref="W71:W73"/>
    <mergeCell ref="X71:X73"/>
    <mergeCell ref="Y71:Y73"/>
    <mergeCell ref="H70:H74"/>
    <mergeCell ref="I70:I74"/>
    <mergeCell ref="J70:J74"/>
    <mergeCell ref="K70:K74"/>
    <mergeCell ref="L70:L74"/>
    <mergeCell ref="M70:M74"/>
    <mergeCell ref="N71:N73"/>
    <mergeCell ref="O71:O73"/>
    <mergeCell ref="Y60:Y61"/>
    <mergeCell ref="S60:S61"/>
    <mergeCell ref="T60:T61"/>
    <mergeCell ref="M60:M61"/>
    <mergeCell ref="N60:N61"/>
    <mergeCell ref="O60:O61"/>
    <mergeCell ref="Q60:Q61"/>
    <mergeCell ref="R60:R61"/>
    <mergeCell ref="W60:W61"/>
    <mergeCell ref="X60:X61"/>
    <mergeCell ref="P60:P61"/>
    <mergeCell ref="Q182:Q183"/>
    <mergeCell ref="R182:R183"/>
    <mergeCell ref="S182:S183"/>
    <mergeCell ref="P182:P183"/>
    <mergeCell ref="I182:I185"/>
    <mergeCell ref="F182:F186"/>
    <mergeCell ref="A13:A15"/>
    <mergeCell ref="D19:D21"/>
    <mergeCell ref="E19:E21"/>
    <mergeCell ref="F19:F21"/>
    <mergeCell ref="G19:G20"/>
    <mergeCell ref="H19:H20"/>
    <mergeCell ref="I19:I20"/>
    <mergeCell ref="J19:J20"/>
    <mergeCell ref="G25:G26"/>
    <mergeCell ref="H25:H26"/>
    <mergeCell ref="I25:I26"/>
    <mergeCell ref="J25:J26"/>
    <mergeCell ref="M164:M166"/>
    <mergeCell ref="N164:N166"/>
    <mergeCell ref="O164:O166"/>
    <mergeCell ref="P164:P165"/>
    <mergeCell ref="Q164:Q165"/>
    <mergeCell ref="R164:R165"/>
    <mergeCell ref="D182:D186"/>
    <mergeCell ref="I142:I145"/>
    <mergeCell ref="H182:H185"/>
    <mergeCell ref="J182:J185"/>
    <mergeCell ref="K182:K185"/>
    <mergeCell ref="M182:M184"/>
    <mergeCell ref="O182:O184"/>
    <mergeCell ref="L182:L184"/>
    <mergeCell ref="L142:L144"/>
    <mergeCell ref="N182:N184"/>
    <mergeCell ref="E142:E146"/>
    <mergeCell ref="N142:N144"/>
    <mergeCell ref="J142:J145"/>
    <mergeCell ref="F142:F146"/>
    <mergeCell ref="E182:E186"/>
    <mergeCell ref="H142:H145"/>
    <mergeCell ref="G182:G186"/>
    <mergeCell ref="H148:H151"/>
    <mergeCell ref="I148:I151"/>
    <mergeCell ref="J148:J151"/>
    <mergeCell ref="K148:K151"/>
    <mergeCell ref="L148:L150"/>
    <mergeCell ref="M148:M150"/>
    <mergeCell ref="N148:N150"/>
    <mergeCell ref="AC103:AC108"/>
    <mergeCell ref="E104:G104"/>
    <mergeCell ref="H104:R104"/>
    <mergeCell ref="E105:G105"/>
    <mergeCell ref="E127:E130"/>
    <mergeCell ref="F127:F130"/>
    <mergeCell ref="G127:G130"/>
    <mergeCell ref="L127:M127"/>
    <mergeCell ref="S127:S130"/>
    <mergeCell ref="H128:H129"/>
    <mergeCell ref="I128:I129"/>
    <mergeCell ref="J128:J129"/>
    <mergeCell ref="K128:K129"/>
    <mergeCell ref="H105:R105"/>
    <mergeCell ref="E106:P106"/>
    <mergeCell ref="U106:U108"/>
    <mergeCell ref="V106:V108"/>
    <mergeCell ref="E109:P109"/>
    <mergeCell ref="AC115:AC120"/>
    <mergeCell ref="E116:G116"/>
    <mergeCell ref="H116:R116"/>
    <mergeCell ref="E117:G117"/>
    <mergeCell ref="H117:R117"/>
    <mergeCell ref="E118:P118"/>
    <mergeCell ref="D115:D123"/>
    <mergeCell ref="E115:G115"/>
    <mergeCell ref="H115:R115"/>
    <mergeCell ref="D103:D111"/>
    <mergeCell ref="E103:G103"/>
    <mergeCell ref="H103:R103"/>
    <mergeCell ref="M142:M144"/>
    <mergeCell ref="P71:P73"/>
    <mergeCell ref="Q71:Q73"/>
    <mergeCell ref="R71:R73"/>
    <mergeCell ref="N79:N81"/>
    <mergeCell ref="O79:O81"/>
    <mergeCell ref="P79:P81"/>
    <mergeCell ref="Q79:Q81"/>
    <mergeCell ref="R79:R81"/>
    <mergeCell ref="H135:H136"/>
    <mergeCell ref="I135:I136"/>
    <mergeCell ref="J135:J136"/>
    <mergeCell ref="K135:K136"/>
    <mergeCell ref="F60:F61"/>
    <mergeCell ref="G60:G61"/>
    <mergeCell ref="H60:H61"/>
    <mergeCell ref="I60:I61"/>
    <mergeCell ref="J60:J61"/>
    <mergeCell ref="K60:K61"/>
    <mergeCell ref="U109:U111"/>
    <mergeCell ref="V109:V111"/>
    <mergeCell ref="D142:D146"/>
    <mergeCell ref="L60:L61"/>
    <mergeCell ref="G70:G74"/>
    <mergeCell ref="U121:U123"/>
    <mergeCell ref="V121:V123"/>
    <mergeCell ref="O142:O144"/>
    <mergeCell ref="S142:S143"/>
    <mergeCell ref="U60:U61"/>
    <mergeCell ref="V60:V61"/>
    <mergeCell ref="U118:U120"/>
    <mergeCell ref="V118:V120"/>
    <mergeCell ref="P142:P143"/>
    <mergeCell ref="Q142:Q143"/>
    <mergeCell ref="R142:R143"/>
    <mergeCell ref="G142:G146"/>
    <mergeCell ref="K142:K145"/>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0 AC197">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2:N144 N164:N166 N148:N150 N153:N155 N157:N158 N170:N172 N175:N177 N179:N180"/>
    <dataValidation type="list" allowBlank="1" showInputMessage="1" showErrorMessage="1" errorTitle="Ошибка" error="Выберите значение из списка" prompt="Выберите значение из списка" sqref="H98">
      <formula1>QRE_METHOD_LIST</formula1>
    </dataValidation>
    <dataValidation type="list" allowBlank="1" showInputMessage="1" showErrorMessage="1" errorTitle="Ошибка" error="Выберите значение из списка" prompt="Выберите значение из списка" sqref="J128:J129 J135:J136 J138">
      <formula1>kind_of_purchase_method</formula1>
    </dataValidation>
    <dataValidation allowBlank="1" showInputMessage="1" showErrorMessage="1" promptTitle="Ввод" prompt="Для выбора ИП необходимо два раза нажать левую кнопку мыши!" sqref="G60 G65"/>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48"/>
    <dataValidation type="whole" allowBlank="1" showErrorMessage="1" errorTitle="Ошибка" error="Допускается ввод только неотрицательных целых чисел!" sqref="P48 N48 X48:Z48 R48:V48 AB48:AC48 H48:J48 AF70:AF74 AI70:AI74 AF79:AF81 AI79:AI81 AF89:AF93 AI89:AI93 AF85 AI85">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48">
      <formula1>kind_of_power_te_unit</formula1>
    </dataValidation>
    <dataValidation allowBlank="1" showInputMessage="1" showErrorMessage="1" prompt="Изменение значения по двойному щелчоку левой кнопки мыши" sqref="J44"/>
    <dataValidation type="list" allowBlank="1" showInputMessage="1" showErrorMessage="1" sqref="I30">
      <formula1>DESCRIPTION_TERRITORY</formula1>
    </dataValidation>
    <dataValidation type="textLength" operator="lessThan" allowBlank="1" showInputMessage="1" showErrorMessage="1" error="Допускается ввод не более 900 символов!" sqref="M25 M1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5 I70:J73 K60 K65 I85:J85 I89:J92">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4 H52 F56">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2:N184">
      <formula1>DESCRIPTION_TERRITORY</formula1>
    </dataValidation>
    <dataValidation allowBlank="1" showInputMessage="1" showErrorMessage="1" prompt="Выберите виды деятельности, выполнив двойной щелчок левой кнопки мыши по ячейке." sqref="G153:G155 G160 G142:G146 G179:G180 G148:G151 G164:G168 G170:G173 G175:G177 G157:G158"/>
    <dataValidation type="decimal" allowBlank="1" showErrorMessage="1" errorTitle="Ошибка" error="Допускается ввод только неотрицательных чисел!" sqref="M48 K48 Q48 O48 Q128 O128 AC72 AE72 AC80 AE80 AE85 AE91 AC91 AC85 Q135 O135 O138 Q138">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2 T60 I60:J60 X60 T65 I65:J65 X65"/>
    <dataValidation allowBlank="1" showInputMessage="1" showErrorMessage="1" prompt="Для выбора выполните двойной щелчок левой клавиши мыши по соответствующей ячейке." sqref="K182:K183 O182:O183 S142:S143 S182:S183 O142 K142 F153:F155 S164:S165 O164 K164 F160 K148 S148:S149 O148 F142:F146 K153 S153:S154 O153 O179 K157 S157:S158 O157 F148:F151 K170 S170:S171 O170 F164:F168 F170:F173 S175:S176 O175 F175:F177 F179:F180 S179:S180 F157:F158"/>
    <dataValidation type="textLength" operator="lessThanOrEqual" allowBlank="1" showInputMessage="1" showErrorMessage="1" errorTitle="Ошибка" error="Допускается ввод не более 900 символов!" sqref="L60:M60 E8 J182:J183 R182:R183 U60:W60 V182:W182 AB60 G13 M30 E35 E39:F39 E48 E52:F52 E56 G56 Q60:S60 M70 K70:K73 V142:W142 J142:J143 R142:R143 V164:W164 J164:J165 R164:R165 AI190 J190:J194 P190:P193 AI197 J197:J201 P197:P200 E4 L65:M65 U65:W65 AB65 Q65:S65 V160:W160 J160 R160 K79:K81 M89 K89:K92 K85 V148:W148 J148:J149 R148:R149 V153:W153 J153:J154 R153:R154 V157:W157 J157:J158 R157:R158 V170:W170 J170:J171 R170:R171 V175:W175 J175:J176 R175:R176 V179:W179 J179:J180 R179:R18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P31"/>
  <sheetViews>
    <sheetView showGridLines="0" topLeftCell="C4" zoomScale="90" workbookViewId="0"/>
  </sheetViews>
  <sheetFormatPr defaultColWidth="10.5703125" defaultRowHeight="14.25" customHeight="1"/>
  <cols>
    <col min="1" max="1" width="9.140625" style="1740" hidden="1" customWidth="1"/>
    <col min="2" max="2" width="9.140625" style="1759" hidden="1" customWidth="1"/>
    <col min="3" max="3" width="3.7109375" style="1677" customWidth="1"/>
    <col min="4" max="4" width="6.28515625" style="1846" customWidth="1"/>
    <col min="5" max="6" width="64.140625" style="1846" customWidth="1"/>
    <col min="7" max="7" width="141.140625" style="1846" customWidth="1"/>
    <col min="8" max="8" width="10.5703125" style="1846"/>
    <col min="9" max="10" width="10.5703125" style="1765"/>
    <col min="11" max="16" width="10.5703125" style="1846"/>
  </cols>
  <sheetData>
    <row r="1" spans="1:16" ht="14.25" hidden="1" customHeight="1">
      <c r="M1" s="174"/>
      <c r="N1" s="174"/>
      <c r="P1" s="174"/>
    </row>
    <row r="2" spans="1:16" ht="14.25" hidden="1" customHeight="1"/>
    <row r="3" spans="1:16" ht="14.25" hidden="1" customHeight="1"/>
    <row r="4" spans="1:16" ht="3" customHeight="1">
      <c r="C4" s="35"/>
      <c r="D4" s="23"/>
      <c r="E4" s="23"/>
      <c r="F4" s="24"/>
      <c r="G4" s="24"/>
    </row>
    <row r="5" spans="1:16" ht="25.5" customHeight="1">
      <c r="C5" s="35"/>
      <c r="D5" s="2014" t="str">
        <f>TERMS_NAME_FORM</f>
        <v>Форма 17.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содержит сведения об условиях публичных договоров регулируемых организаций, а также сведения о договорах, заключенных в соответствии с частями 2.1 и 2.2 статьи 8 Федерального закона "О теплоснабжении",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 теплоснабжении", и (или) условиях договоров о подключении (технологическом присоединении) к системе теплоснабжения включает сведения об условиях публичных договоров, заключаемых единой теплоснабжающей организацией в ценовых зонах теплоснабжения</v>
      </c>
      <c r="E5" s="2015"/>
      <c r="F5" s="2015"/>
      <c r="G5" s="2016"/>
    </row>
    <row r="6" spans="1:16" s="1846" customFormat="1" ht="18" customHeight="1">
      <c r="A6" s="780"/>
      <c r="B6" s="352"/>
      <c r="C6" s="304"/>
      <c r="D6" s="2126" t="str">
        <f>IF(org=0,"Не определено",org)</f>
        <v>ООО "Автозаводская ТЭЦ"</v>
      </c>
      <c r="E6" s="2127"/>
      <c r="F6" s="2127"/>
      <c r="G6" s="2128"/>
      <c r="I6" s="428"/>
      <c r="J6" s="428"/>
    </row>
    <row r="7" spans="1:16" ht="14.25" customHeight="1">
      <c r="C7" s="35"/>
      <c r="D7" s="23"/>
      <c r="E7" s="34"/>
      <c r="F7" s="665"/>
      <c r="G7" s="118"/>
    </row>
    <row r="8" spans="1:16" s="1846" customFormat="1" ht="0.75" customHeight="1">
      <c r="A8" s="1529"/>
      <c r="B8" s="1036"/>
      <c r="C8" s="304"/>
      <c r="D8" s="289"/>
      <c r="E8" s="321"/>
      <c r="F8" s="665"/>
      <c r="G8" s="118"/>
      <c r="I8" s="1485"/>
      <c r="J8" s="1485"/>
    </row>
    <row r="9" spans="1:16" ht="14.25" customHeight="1">
      <c r="C9" s="35"/>
      <c r="D9" s="2111" t="s">
        <v>292</v>
      </c>
      <c r="E9" s="2111"/>
      <c r="F9" s="2111"/>
      <c r="G9" s="2223" t="s">
        <v>293</v>
      </c>
    </row>
    <row r="10" spans="1:16" ht="14.25" customHeight="1">
      <c r="C10" s="35"/>
      <c r="D10" s="41" t="s">
        <v>88</v>
      </c>
      <c r="E10" s="44" t="s">
        <v>294</v>
      </c>
      <c r="F10" s="44" t="s">
        <v>384</v>
      </c>
      <c r="G10" s="2223"/>
    </row>
    <row r="11" spans="1:16" ht="12" hidden="1" customHeight="1">
      <c r="C11" s="35"/>
      <c r="D11" s="26"/>
      <c r="E11" s="26"/>
      <c r="F11" s="26"/>
      <c r="G11" s="26"/>
    </row>
    <row r="12" spans="1:16" ht="62.25" customHeight="1">
      <c r="A12" s="117"/>
      <c r="C12" s="35"/>
      <c r="D12" s="76">
        <v>1</v>
      </c>
      <c r="E12" s="121"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22" t="s">
        <v>298</v>
      </c>
      <c r="G12" s="80"/>
    </row>
    <row r="13" spans="1:16" ht="22.5" customHeight="1">
      <c r="A13" s="117"/>
      <c r="C13" s="35"/>
      <c r="D13" s="76" t="s">
        <v>620</v>
      </c>
      <c r="E13" s="119"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22" t="s">
        <v>298</v>
      </c>
      <c r="G13" s="80"/>
    </row>
    <row r="14" spans="1:16" ht="14.25" customHeight="1">
      <c r="A14" s="117"/>
      <c r="C14" s="35"/>
      <c r="D14" s="76" t="s">
        <v>1445</v>
      </c>
      <c r="E14" s="1665"/>
      <c r="F14" s="135"/>
      <c r="G14" s="2067"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r="15" spans="1:16" ht="15" customHeight="1">
      <c r="A15" s="117"/>
      <c r="C15" s="35"/>
      <c r="D15" s="45"/>
      <c r="E15" s="273" t="s">
        <v>1446</v>
      </c>
      <c r="F15" s="124"/>
      <c r="G15" s="2069"/>
    </row>
    <row r="16" spans="1:16" ht="14.25" customHeight="1">
      <c r="A16" s="117"/>
      <c r="C16" s="35"/>
      <c r="D16" s="76" t="s">
        <v>626</v>
      </c>
      <c r="E16" s="119"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22" t="s">
        <v>298</v>
      </c>
      <c r="G16" s="262"/>
    </row>
    <row r="17" spans="1:16" ht="14.25" customHeight="1">
      <c r="A17" s="117"/>
      <c r="C17" s="35"/>
      <c r="D17" s="76" t="s">
        <v>1447</v>
      </c>
      <c r="E17" s="1665"/>
      <c r="F17" s="316"/>
      <c r="G17" s="2067"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v>
      </c>
    </row>
    <row r="18" spans="1:16" s="1846" customFormat="1" ht="21" customHeight="1">
      <c r="A18" s="267"/>
      <c r="B18" s="75"/>
      <c r="C18" s="226"/>
      <c r="D18" s="271"/>
      <c r="E18" s="273" t="s">
        <v>1448</v>
      </c>
      <c r="F18" s="263"/>
      <c r="G18" s="2069"/>
      <c r="I18" s="274"/>
      <c r="J18" s="274"/>
    </row>
    <row r="19" spans="1:16" s="1846" customFormat="1" ht="256.5" hidden="1" customHeight="1">
      <c r="A19" s="267"/>
      <c r="B19" s="352"/>
      <c r="C19" s="304"/>
      <c r="D19" s="782" t="s">
        <v>1449</v>
      </c>
      <c r="E19" s="781" t="s">
        <v>1450</v>
      </c>
      <c r="F19" s="316"/>
      <c r="G19" s="262" t="s">
        <v>1451</v>
      </c>
      <c r="I19" s="428"/>
      <c r="J19" s="428"/>
    </row>
    <row r="20" spans="1:16" s="1846" customFormat="1" ht="14.25" customHeight="1">
      <c r="A20" s="267"/>
      <c r="B20" s="75"/>
      <c r="C20" s="226"/>
      <c r="D20" s="783">
        <v>2</v>
      </c>
      <c r="E20" s="256" t="s">
        <v>1452</v>
      </c>
      <c r="F20" s="122" t="s">
        <v>298</v>
      </c>
      <c r="G20" s="262"/>
      <c r="I20" s="274"/>
      <c r="J20" s="274"/>
    </row>
    <row r="21" spans="1:16" s="1846" customFormat="1" ht="18.75" hidden="1" customHeight="1">
      <c r="A21" s="267"/>
      <c r="B21" s="75"/>
      <c r="C21" s="226"/>
      <c r="D21" s="258" t="s">
        <v>1453</v>
      </c>
      <c r="E21" s="1666"/>
      <c r="F21" s="257"/>
      <c r="G21" s="266"/>
      <c r="H21" s="259"/>
      <c r="I21" s="274"/>
      <c r="J21" s="274"/>
    </row>
    <row r="22" spans="1:16" ht="15" customHeight="1">
      <c r="A22" s="117"/>
      <c r="C22" s="35"/>
      <c r="D22" s="45"/>
      <c r="E22" s="126" t="s">
        <v>1454</v>
      </c>
      <c r="F22" s="263"/>
      <c r="G22" s="264"/>
    </row>
    <row r="23" spans="1:16" s="1846" customFormat="1" ht="22.5" hidden="1" customHeight="1">
      <c r="A23" s="267"/>
      <c r="B23" s="1036"/>
      <c r="C23" s="304"/>
      <c r="D23" s="1533" t="s">
        <v>110</v>
      </c>
      <c r="E23" s="121" t="s">
        <v>1455</v>
      </c>
      <c r="F23" s="1530" t="s">
        <v>298</v>
      </c>
      <c r="G23" s="269"/>
      <c r="I23" s="1485"/>
      <c r="J23" s="1485"/>
    </row>
    <row r="24" spans="1:16" s="1846" customFormat="1" ht="14.25" hidden="1" customHeight="1">
      <c r="A24" s="267"/>
      <c r="B24" s="1036"/>
      <c r="C24" s="304"/>
      <c r="D24" s="1533" t="s">
        <v>505</v>
      </c>
      <c r="E24" s="1532" t="s">
        <v>1456</v>
      </c>
      <c r="F24" s="1530" t="s">
        <v>298</v>
      </c>
      <c r="G24" s="262"/>
      <c r="I24" s="1485"/>
      <c r="J24" s="1485"/>
    </row>
    <row r="25" spans="1:16" s="1846" customFormat="1" ht="14.25" hidden="1" customHeight="1">
      <c r="A25" s="267"/>
      <c r="B25" s="1036"/>
      <c r="C25" s="304"/>
      <c r="D25" s="1533" t="s">
        <v>1457</v>
      </c>
      <c r="E25" s="1665"/>
      <c r="F25" s="316"/>
      <c r="G25" s="2067" t="s">
        <v>1458</v>
      </c>
      <c r="I25" s="1485"/>
      <c r="J25" s="1485"/>
    </row>
    <row r="26" spans="1:16" s="1846" customFormat="1" ht="22.5" hidden="1" customHeight="1">
      <c r="A26" s="267"/>
      <c r="B26" s="1036"/>
      <c r="C26" s="304"/>
      <c r="D26" s="271"/>
      <c r="E26" s="273" t="s">
        <v>1459</v>
      </c>
      <c r="F26" s="263"/>
      <c r="G26" s="2069"/>
      <c r="I26" s="1485"/>
      <c r="J26" s="1485"/>
    </row>
    <row r="27" spans="1:16" ht="3" customHeight="1"/>
    <row r="28" spans="1:16" ht="14.25" customHeight="1">
      <c r="D28" s="261"/>
      <c r="E28" s="260"/>
      <c r="F28" s="237"/>
      <c r="G28" s="237"/>
      <c r="H28" s="237"/>
      <c r="I28" s="237"/>
      <c r="J28" s="237"/>
      <c r="K28" s="237"/>
      <c r="L28" s="237"/>
      <c r="M28" s="237"/>
      <c r="N28" s="237"/>
      <c r="O28" s="237"/>
      <c r="P28" s="237"/>
    </row>
    <row r="29" spans="1:16" ht="14.25" customHeight="1">
      <c r="D29" s="261"/>
      <c r="E29" s="509"/>
    </row>
    <row r="31" spans="1:16" ht="14.25" customHeight="1">
      <c r="E31" s="669"/>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s>
  <printOptions horizontalCentered="1" verticalCentered="1"/>
  <pageMargins left="0" right="0" top="0" bottom="0" header="0" footer="0.79"/>
  <pageSetup paperSize="9" scale="38" fitToHeight="0" orientation="portrait" blackAndWhite="1"/>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759" hidden="1"/>
    <col min="2" max="2" width="11" style="1759" hidden="1" customWidth="1"/>
    <col min="3" max="3" width="10.5703125" style="1759" hidden="1"/>
    <col min="4" max="4" width="11.85546875" style="1759" hidden="1" customWidth="1"/>
    <col min="5" max="5" width="10" style="1759" hidden="1" customWidth="1"/>
    <col min="6" max="6" width="8.7109375" style="1759" hidden="1" customWidth="1"/>
    <col min="7" max="7" width="7.5703125" style="1759" hidden="1" customWidth="1"/>
    <col min="8" max="8" width="11.42578125" style="1759" hidden="1" customWidth="1"/>
    <col min="9" max="9" width="12" style="1759" hidden="1" customWidth="1"/>
    <col min="10" max="10" width="9.85546875" style="1759" hidden="1" customWidth="1"/>
    <col min="11" max="11" width="11.42578125" style="1759" hidden="1" customWidth="1"/>
    <col min="12" max="12" width="19.140625" style="1758" hidden="1" customWidth="1"/>
    <col min="13" max="14" width="12.28515625" style="1686" hidden="1" customWidth="1"/>
    <col min="15" max="15" width="23.42578125" style="1686" hidden="1" customWidth="1"/>
    <col min="16" max="16" width="3.7109375" style="1740" customWidth="1"/>
    <col min="17" max="18" width="3.7109375" style="1677" customWidth="1"/>
    <col min="19" max="19" width="12.7109375" style="1727" customWidth="1"/>
    <col min="20" max="20" width="35.7109375" style="1846" customWidth="1"/>
    <col min="21" max="21" width="0.140625" style="1846" customWidth="1"/>
    <col min="22" max="22" width="24.7109375" style="1846" hidden="1" customWidth="1"/>
    <col min="23" max="23" width="0.140625" style="1846" hidden="1" customWidth="1"/>
    <col min="24" max="25" width="24.7109375" style="1846" hidden="1" customWidth="1"/>
    <col min="26" max="26" width="11.7109375" style="1846" hidden="1" customWidth="1"/>
    <col min="27" max="27" width="3.7109375" style="1846" hidden="1" customWidth="1"/>
    <col min="28" max="28" width="11.7109375" style="1846" hidden="1" customWidth="1"/>
    <col min="29" max="29" width="8.5703125" style="1846" hidden="1" customWidth="1"/>
    <col min="30" max="30" width="24.7109375" style="1846" customWidth="1"/>
    <col min="31" max="31" width="0.140625" style="1846" customWidth="1"/>
    <col min="32" max="33" width="24.7109375" style="1846" customWidth="1"/>
    <col min="34" max="34" width="11.7109375" style="1846" customWidth="1"/>
    <col min="35" max="35" width="3.7109375" style="1846" customWidth="1"/>
    <col min="36" max="36" width="11.7109375" style="1846" customWidth="1"/>
    <col min="37" max="37" width="8.5703125" style="1846" hidden="1" customWidth="1"/>
    <col min="38" max="38" width="4.7109375" style="1846" customWidth="1"/>
    <col min="39" max="39" width="115.7109375" style="1846" customWidth="1"/>
    <col min="40" max="41" width="10.5703125" style="1772"/>
    <col min="42" max="42" width="11.140625" style="1772" customWidth="1"/>
    <col min="43" max="44" width="10.5703125" style="1772"/>
  </cols>
  <sheetData>
    <row r="1" spans="1:44" ht="14.25" hidden="1" customHeight="1">
      <c r="Y1" s="254"/>
      <c r="Z1" s="254"/>
      <c r="AG1" s="254"/>
      <c r="AH1" s="254"/>
    </row>
    <row r="2" spans="1:44" ht="21" hidden="1" customHeight="1">
      <c r="A2" s="1244"/>
      <c r="B2" s="1244"/>
      <c r="C2" s="1244"/>
      <c r="D2" s="1244"/>
      <c r="E2" s="2235">
        <v>1</v>
      </c>
      <c r="F2" s="1244"/>
      <c r="G2" s="1244"/>
      <c r="H2" s="1244"/>
      <c r="I2" s="1244"/>
      <c r="J2" s="1244"/>
      <c r="K2" s="1244"/>
      <c r="L2" s="1245"/>
      <c r="M2" s="1246"/>
      <c r="N2" s="1246"/>
      <c r="O2" s="1246"/>
      <c r="P2" s="285"/>
      <c r="Q2" s="284"/>
      <c r="R2" s="279"/>
      <c r="S2" s="1195" t="e">
        <f>INDEX(PT_DIFFERENTIATION_NUM_NTAR,MATCH(A2,PT_DIFFERENTIATION_NTAR_ID,0))</f>
        <v>#N/A</v>
      </c>
      <c r="T2" s="216" t="s">
        <v>124</v>
      </c>
      <c r="U2" s="218"/>
      <c r="V2" s="2229"/>
      <c r="W2" s="2230"/>
      <c r="X2" s="2230"/>
      <c r="Y2" s="2230"/>
      <c r="Z2" s="2230"/>
      <c r="AA2" s="2230"/>
      <c r="AB2" s="2230"/>
      <c r="AC2" s="2231"/>
      <c r="AD2" s="2229" t="e">
        <f>INDEX(PT_DIFFERENTIATION_NTAR,MATCH(A2,PT_DIFFERENTIATION_NTAR_ID,0))</f>
        <v>#N/A</v>
      </c>
      <c r="AE2" s="2230"/>
      <c r="AF2" s="2230"/>
      <c r="AG2" s="2230"/>
      <c r="AH2" s="2230"/>
      <c r="AI2" s="2230"/>
      <c r="AJ2" s="2230"/>
      <c r="AK2" s="2230"/>
      <c r="AL2" s="2231"/>
      <c r="AM2" s="1140" t="s">
        <v>1460</v>
      </c>
      <c r="AO2" s="428"/>
      <c r="AP2" s="428" t="str">
        <f t="shared" ref="AP2:AP15" si="0">IF(T2="","",T2)</f>
        <v>Наименование тарифа</v>
      </c>
      <c r="AQ2" s="428"/>
      <c r="AR2" s="428"/>
    </row>
    <row r="3" spans="1:44" ht="21" hidden="1" customHeight="1">
      <c r="A3" s="1244"/>
      <c r="B3" s="1244"/>
      <c r="C3" s="1244"/>
      <c r="D3" s="1244"/>
      <c r="E3" s="2236"/>
      <c r="F3" s="2235">
        <v>1</v>
      </c>
      <c r="G3" s="1244"/>
      <c r="H3" s="1244"/>
      <c r="I3" s="1244"/>
      <c r="J3" s="1244"/>
      <c r="K3" s="1244"/>
      <c r="L3" s="1245"/>
      <c r="M3" s="1246"/>
      <c r="N3" s="1246"/>
      <c r="O3" s="1246"/>
      <c r="P3" s="1191"/>
      <c r="Q3" s="276"/>
      <c r="R3" s="277"/>
      <c r="S3" s="1195" t="e">
        <f>INDEX(PT_DIFFERENTIATION_NUM_TER,MATCH(B3,PT_DIFFERENTIATION_TER_ID,0))</f>
        <v>#N/A</v>
      </c>
      <c r="T3" s="228" t="s">
        <v>1461</v>
      </c>
      <c r="U3" s="218"/>
      <c r="V3" s="2229"/>
      <c r="W3" s="2230"/>
      <c r="X3" s="2230"/>
      <c r="Y3" s="2230"/>
      <c r="Z3" s="2230"/>
      <c r="AA3" s="2230"/>
      <c r="AB3" s="2230"/>
      <c r="AC3" s="2231"/>
      <c r="AD3" s="2229" t="e">
        <f>INDEX(PT_DIFFERENTIATION_TER,MATCH(B3,PT_DIFFERENTIATION_TER_ID,0))</f>
        <v>#N/A</v>
      </c>
      <c r="AE3" s="2230"/>
      <c r="AF3" s="2230"/>
      <c r="AG3" s="2230"/>
      <c r="AH3" s="2230"/>
      <c r="AI3" s="2230"/>
      <c r="AJ3" s="2230"/>
      <c r="AK3" s="2230"/>
      <c r="AL3" s="2231"/>
      <c r="AM3" s="1140" t="s">
        <v>1462</v>
      </c>
      <c r="AO3" s="428"/>
      <c r="AP3" s="428" t="str">
        <f t="shared" si="0"/>
        <v>Территория действия тарифа</v>
      </c>
      <c r="AQ3" s="428"/>
      <c r="AR3" s="428"/>
    </row>
    <row r="4" spans="1:44" ht="23.25" hidden="1" customHeight="1">
      <c r="A4" s="1244"/>
      <c r="B4" s="1244"/>
      <c r="C4" s="1244"/>
      <c r="D4" s="1244"/>
      <c r="E4" s="2236"/>
      <c r="F4" s="2236"/>
      <c r="G4" s="2235">
        <v>1</v>
      </c>
      <c r="H4" s="1244"/>
      <c r="I4" s="1244"/>
      <c r="J4" s="1244"/>
      <c r="K4" s="1244"/>
      <c r="L4" s="1245"/>
      <c r="M4" s="1246"/>
      <c r="N4" s="1246"/>
      <c r="O4" s="1246"/>
      <c r="P4" s="278"/>
      <c r="Q4" s="276"/>
      <c r="R4" s="277"/>
      <c r="S4" s="1195" t="e">
        <f>INDEX(PT_DIFFERENTIATION_NUM_CS,MATCH(C4,PT_DIFFERENTIATION_CS_ID,0))</f>
        <v>#N/A</v>
      </c>
      <c r="T4" s="229" t="s">
        <v>1463</v>
      </c>
      <c r="U4" s="218"/>
      <c r="V4" s="2229"/>
      <c r="W4" s="2230"/>
      <c r="X4" s="2230"/>
      <c r="Y4" s="2230"/>
      <c r="Z4" s="2230"/>
      <c r="AA4" s="2230"/>
      <c r="AB4" s="2230"/>
      <c r="AC4" s="2231"/>
      <c r="AD4" s="2229" t="e">
        <f>INDEX(PT_DIFFERENTIATION_CS,MATCH(C4,PT_DIFFERENTIATION_CS_ID,0))</f>
        <v>#N/A</v>
      </c>
      <c r="AE4" s="2230"/>
      <c r="AF4" s="2230"/>
      <c r="AG4" s="2230"/>
      <c r="AH4" s="2230"/>
      <c r="AI4" s="2230"/>
      <c r="AJ4" s="2230"/>
      <c r="AK4" s="2230"/>
      <c r="AL4" s="2231"/>
      <c r="AM4" s="1140" t="s">
        <v>1464</v>
      </c>
      <c r="AO4" s="428"/>
      <c r="AP4" s="428" t="str">
        <f t="shared" si="0"/>
        <v xml:space="preserve">Наименование системы теплоснабжения </v>
      </c>
      <c r="AQ4" s="428"/>
      <c r="AR4" s="428"/>
    </row>
    <row r="5" spans="1:44" ht="21" hidden="1" customHeight="1">
      <c r="A5" s="1244"/>
      <c r="B5" s="1244"/>
      <c r="C5" s="1244"/>
      <c r="D5" s="1244"/>
      <c r="E5" s="2236"/>
      <c r="F5" s="2236"/>
      <c r="G5" s="2236"/>
      <c r="H5" s="2235">
        <v>1</v>
      </c>
      <c r="I5" s="1244"/>
      <c r="J5" s="1244"/>
      <c r="K5" s="1244"/>
      <c r="L5" s="1245"/>
      <c r="M5" s="1246"/>
      <c r="N5" s="1246"/>
      <c r="O5" s="1246"/>
      <c r="P5" s="278"/>
      <c r="Q5" s="276"/>
      <c r="R5" s="277"/>
      <c r="S5" s="1195" t="e">
        <f>INDEX(PT_DIFFERENTIATION_NUM_IST_TE,MATCH(D5,PT_DIFFERENTIATION_IST_TE_ID,0))</f>
        <v>#N/A</v>
      </c>
      <c r="T5" s="230" t="s">
        <v>1465</v>
      </c>
      <c r="U5" s="218"/>
      <c r="V5" s="2229"/>
      <c r="W5" s="2230"/>
      <c r="X5" s="2230"/>
      <c r="Y5" s="2230"/>
      <c r="Z5" s="2230"/>
      <c r="AA5" s="2230"/>
      <c r="AB5" s="2230"/>
      <c r="AC5" s="2231"/>
      <c r="AD5" s="2229" t="e">
        <f>INDEX(PT_DIFFERENTIATION_IST_TE,MATCH(D5,PT_DIFFERENTIATION_IST_TE_ID,0))</f>
        <v>#N/A</v>
      </c>
      <c r="AE5" s="2230"/>
      <c r="AF5" s="2230"/>
      <c r="AG5" s="2230"/>
      <c r="AH5" s="2230"/>
      <c r="AI5" s="2230"/>
      <c r="AJ5" s="2230"/>
      <c r="AK5" s="2230"/>
      <c r="AL5" s="2231"/>
      <c r="AM5" s="1140" t="s">
        <v>1466</v>
      </c>
      <c r="AO5" s="428"/>
      <c r="AP5" s="428" t="str">
        <f t="shared" si="0"/>
        <v xml:space="preserve">Источник тепловой энергии  </v>
      </c>
      <c r="AQ5" s="428"/>
      <c r="AR5" s="428"/>
    </row>
    <row r="6" spans="1:44" ht="47.25" hidden="1" customHeight="1">
      <c r="A6" s="1244"/>
      <c r="B6" s="1244"/>
      <c r="C6" s="1244"/>
      <c r="D6" s="1244"/>
      <c r="E6" s="2236"/>
      <c r="F6" s="2236"/>
      <c r="G6" s="2236"/>
      <c r="H6" s="2236"/>
      <c r="I6" s="2237" t="e">
        <f>S5&amp;".1"</f>
        <v>#N/A</v>
      </c>
      <c r="J6" s="1244"/>
      <c r="K6" s="1244"/>
      <c r="L6" s="1245" t="s">
        <v>1467</v>
      </c>
      <c r="M6" s="464"/>
      <c r="P6" s="2157">
        <v>1</v>
      </c>
      <c r="Q6" s="1192"/>
      <c r="R6" s="280"/>
      <c r="S6" s="1195" t="e">
        <f>$I6</f>
        <v>#N/A</v>
      </c>
      <c r="T6" s="203" t="s">
        <v>1468</v>
      </c>
      <c r="U6" s="218"/>
      <c r="V6" s="2224"/>
      <c r="W6" s="2225"/>
      <c r="X6" s="2225"/>
      <c r="Y6" s="2225"/>
      <c r="Z6" s="2225"/>
      <c r="AA6" s="2225"/>
      <c r="AB6" s="2225"/>
      <c r="AC6" s="2226"/>
      <c r="AD6" s="2224"/>
      <c r="AE6" s="2225"/>
      <c r="AF6" s="2225"/>
      <c r="AG6" s="2225"/>
      <c r="AH6" s="2225"/>
      <c r="AI6" s="2225"/>
      <c r="AJ6" s="2225"/>
      <c r="AK6" s="2225"/>
      <c r="AL6" s="2226"/>
      <c r="AM6" s="1140" t="s">
        <v>1469</v>
      </c>
      <c r="AO6" s="428"/>
      <c r="AP6" s="428" t="str">
        <f t="shared" si="0"/>
        <v>Схема подключения теплопотребляющей установки к коллектору источника тепловой энергии</v>
      </c>
      <c r="AQ6" s="428"/>
      <c r="AR6" s="428"/>
    </row>
    <row r="7" spans="1:44" ht="21" hidden="1" customHeight="1">
      <c r="A7" s="1244"/>
      <c r="B7" s="1244"/>
      <c r="C7" s="1244"/>
      <c r="D7" s="1244"/>
      <c r="E7" s="2236"/>
      <c r="F7" s="2236"/>
      <c r="G7" s="2236"/>
      <c r="H7" s="2236"/>
      <c r="I7" s="2238"/>
      <c r="J7" s="2237" t="e">
        <f>I6&amp;".1"</f>
        <v>#N/A</v>
      </c>
      <c r="K7" s="1244"/>
      <c r="L7" s="1245" t="s">
        <v>1470</v>
      </c>
      <c r="M7" s="464"/>
      <c r="N7" s="1247"/>
      <c r="P7" s="2157"/>
      <c r="Q7" s="2157">
        <v>1</v>
      </c>
      <c r="R7" s="281"/>
      <c r="S7" s="1195" t="e">
        <f>$J7</f>
        <v>#N/A</v>
      </c>
      <c r="T7" s="204" t="s">
        <v>1471</v>
      </c>
      <c r="U7" s="218"/>
      <c r="V7" s="2224"/>
      <c r="W7" s="2225"/>
      <c r="X7" s="2225"/>
      <c r="Y7" s="2225"/>
      <c r="Z7" s="2225"/>
      <c r="AA7" s="2225"/>
      <c r="AB7" s="2225"/>
      <c r="AC7" s="2226"/>
      <c r="AD7" s="2224"/>
      <c r="AE7" s="2225"/>
      <c r="AF7" s="2225"/>
      <c r="AG7" s="2225"/>
      <c r="AH7" s="2225"/>
      <c r="AI7" s="2225"/>
      <c r="AJ7" s="2225"/>
      <c r="AK7" s="2225"/>
      <c r="AL7" s="2226"/>
      <c r="AM7" s="1140" t="s">
        <v>1472</v>
      </c>
      <c r="AO7" s="428"/>
      <c r="AP7" s="428" t="str">
        <f t="shared" si="0"/>
        <v>Группа потребителей</v>
      </c>
      <c r="AQ7" s="428"/>
      <c r="AR7" s="428"/>
    </row>
    <row r="8" spans="1:44" ht="21" hidden="1" customHeight="1">
      <c r="A8" s="1244"/>
      <c r="B8" s="1244"/>
      <c r="C8" s="1244"/>
      <c r="D8" s="1244"/>
      <c r="E8" s="2236"/>
      <c r="F8" s="2236"/>
      <c r="G8" s="2236"/>
      <c r="H8" s="2236"/>
      <c r="I8" s="2238"/>
      <c r="J8" s="2238"/>
      <c r="K8" s="2237" t="e">
        <f>J7&amp;".1"</f>
        <v>#N/A</v>
      </c>
      <c r="L8" s="1245" t="s">
        <v>1473</v>
      </c>
      <c r="M8" s="464"/>
      <c r="N8" s="1247"/>
      <c r="O8" s="1247"/>
      <c r="P8" s="2157"/>
      <c r="Q8" s="2157"/>
      <c r="R8" s="281">
        <v>1</v>
      </c>
      <c r="S8" s="1195" t="e">
        <f>$K8</f>
        <v>#N/A</v>
      </c>
      <c r="T8" s="1232"/>
      <c r="U8" s="218"/>
      <c r="V8" s="1667"/>
      <c r="W8" s="1668"/>
      <c r="X8" s="1667"/>
      <c r="Y8" s="1669"/>
      <c r="Z8" s="2239"/>
      <c r="AA8" s="2031" t="s">
        <v>66</v>
      </c>
      <c r="AB8" s="2239"/>
      <c r="AC8" s="2031" t="s">
        <v>66</v>
      </c>
      <c r="AD8" s="1667"/>
      <c r="AE8" s="1668"/>
      <c r="AF8" s="1667"/>
      <c r="AG8" s="1669"/>
      <c r="AH8" s="2239"/>
      <c r="AI8" s="2031" t="s">
        <v>66</v>
      </c>
      <c r="AJ8" s="2239"/>
      <c r="AK8" s="2031" t="s">
        <v>66</v>
      </c>
      <c r="AL8" s="1668"/>
      <c r="AM8" s="2257" t="s">
        <v>1474</v>
      </c>
      <c r="AN8" s="439" t="e">
        <f ca="1">STRCHECKDATE(V9:AL9)</f>
        <v>#NAME?</v>
      </c>
      <c r="AO8" s="428"/>
      <c r="AP8" s="428" t="str">
        <f t="shared" si="0"/>
        <v/>
      </c>
      <c r="AQ8" s="428"/>
      <c r="AR8" s="428"/>
    </row>
    <row r="9" spans="1:44" ht="0.75" hidden="1" customHeight="1">
      <c r="A9" s="1244"/>
      <c r="B9" s="1244"/>
      <c r="C9" s="1244"/>
      <c r="D9" s="1244"/>
      <c r="E9" s="2236"/>
      <c r="F9" s="2236"/>
      <c r="G9" s="2236"/>
      <c r="H9" s="2236"/>
      <c r="I9" s="2238"/>
      <c r="J9" s="2238"/>
      <c r="K9" s="2237"/>
      <c r="L9" s="1245"/>
      <c r="M9" s="464"/>
      <c r="N9" s="1247"/>
      <c r="O9" s="1247"/>
      <c r="P9" s="2157"/>
      <c r="Q9" s="2157"/>
      <c r="R9" s="281"/>
      <c r="S9" s="1193"/>
      <c r="T9" s="218"/>
      <c r="U9" s="218"/>
      <c r="V9" s="1668"/>
      <c r="W9" s="1668"/>
      <c r="X9" s="1668"/>
      <c r="Y9" s="1670" t="str">
        <f>Z8&amp;"-"&amp;AB8</f>
        <v>-</v>
      </c>
      <c r="Z9" s="2240"/>
      <c r="AA9" s="2031"/>
      <c r="AB9" s="2240"/>
      <c r="AC9" s="2031"/>
      <c r="AD9" s="1668"/>
      <c r="AE9" s="1668"/>
      <c r="AF9" s="1668"/>
      <c r="AG9" s="1670" t="str">
        <f>AH8&amp;"-"&amp;AJ8</f>
        <v>-</v>
      </c>
      <c r="AH9" s="2240"/>
      <c r="AI9" s="2031"/>
      <c r="AJ9" s="2240"/>
      <c r="AK9" s="2031"/>
      <c r="AL9" s="1668"/>
      <c r="AM9" s="2258"/>
      <c r="AO9" s="428"/>
      <c r="AP9" s="428" t="str">
        <f t="shared" si="0"/>
        <v/>
      </c>
      <c r="AQ9" s="428"/>
      <c r="AR9" s="428"/>
    </row>
    <row r="10" spans="1:44" ht="15" hidden="1" customHeight="1">
      <c r="A10" s="1244"/>
      <c r="B10" s="1244"/>
      <c r="C10" s="1244"/>
      <c r="D10" s="1244"/>
      <c r="E10" s="2236"/>
      <c r="F10" s="2236"/>
      <c r="G10" s="2236"/>
      <c r="H10" s="2236"/>
      <c r="I10" s="2238"/>
      <c r="J10" s="2237"/>
      <c r="K10" s="1244"/>
      <c r="L10" s="1245"/>
      <c r="M10" s="464"/>
      <c r="N10" s="1247"/>
      <c r="P10" s="2157"/>
      <c r="Q10" s="2157"/>
      <c r="R10" s="280"/>
      <c r="S10" s="1161"/>
      <c r="T10" s="206" t="s">
        <v>1475</v>
      </c>
      <c r="U10" s="294"/>
      <c r="V10" s="294"/>
      <c r="W10" s="294"/>
      <c r="X10" s="294"/>
      <c r="Y10" s="294"/>
      <c r="Z10" s="294"/>
      <c r="AA10" s="294"/>
      <c r="AB10" s="294"/>
      <c r="AC10" s="294"/>
      <c r="AD10" s="294"/>
      <c r="AE10" s="294"/>
      <c r="AF10" s="294"/>
      <c r="AG10" s="294"/>
      <c r="AH10" s="294"/>
      <c r="AI10" s="294"/>
      <c r="AJ10" s="294"/>
      <c r="AK10" s="294"/>
      <c r="AL10" s="251"/>
      <c r="AM10" s="2259"/>
      <c r="AO10" s="428"/>
      <c r="AP10" s="428" t="str">
        <f t="shared" si="0"/>
        <v>Добавить вид теплоносителя (параметры теплоносителя)</v>
      </c>
      <c r="AQ10" s="428"/>
      <c r="AR10" s="428"/>
    </row>
    <row r="11" spans="1:44" ht="15" hidden="1" customHeight="1">
      <c r="A11" s="1244"/>
      <c r="B11" s="1244"/>
      <c r="C11" s="1244"/>
      <c r="D11" s="1244"/>
      <c r="E11" s="2236"/>
      <c r="F11" s="2236"/>
      <c r="G11" s="2236"/>
      <c r="H11" s="2236"/>
      <c r="I11" s="2237"/>
      <c r="J11" s="1244"/>
      <c r="K11" s="1244"/>
      <c r="L11" s="1245"/>
      <c r="M11" s="464"/>
      <c r="P11" s="2157"/>
      <c r="Q11" s="1192"/>
      <c r="R11" s="280"/>
      <c r="S11" s="1161"/>
      <c r="T11" s="205" t="s">
        <v>1476</v>
      </c>
      <c r="U11" s="294"/>
      <c r="V11" s="294"/>
      <c r="W11" s="294"/>
      <c r="X11" s="294"/>
      <c r="Y11" s="294"/>
      <c r="Z11" s="294"/>
      <c r="AA11" s="294"/>
      <c r="AB11" s="294"/>
      <c r="AC11" s="293"/>
      <c r="AD11" s="294"/>
      <c r="AE11" s="294"/>
      <c r="AF11" s="294"/>
      <c r="AG11" s="294"/>
      <c r="AH11" s="294"/>
      <c r="AI11" s="294"/>
      <c r="AJ11" s="294"/>
      <c r="AK11" s="293"/>
      <c r="AL11" s="294"/>
      <c r="AM11" s="221"/>
      <c r="AO11" s="428"/>
      <c r="AP11" s="428" t="str">
        <f t="shared" si="0"/>
        <v>Добавить группу потребителей</v>
      </c>
      <c r="AQ11" s="428"/>
      <c r="AR11" s="428"/>
    </row>
    <row r="12" spans="1:44" ht="14.25" hidden="1" customHeight="1">
      <c r="A12" s="1244"/>
      <c r="B12" s="1244"/>
      <c r="C12" s="1244"/>
      <c r="D12" s="1244"/>
      <c r="E12" s="2236"/>
      <c r="F12" s="2236"/>
      <c r="G12" s="2236"/>
      <c r="H12" s="2235"/>
      <c r="I12" s="1244"/>
      <c r="J12" s="1244"/>
      <c r="K12" s="1244"/>
      <c r="L12" s="1245"/>
      <c r="M12" s="1246"/>
      <c r="N12" s="1246"/>
      <c r="O12" s="464"/>
      <c r="P12" s="284"/>
      <c r="Q12" s="303"/>
      <c r="R12" s="279"/>
      <c r="S12" s="1161"/>
      <c r="T12" s="291" t="s">
        <v>1477</v>
      </c>
      <c r="U12" s="294"/>
      <c r="V12" s="294"/>
      <c r="W12" s="294"/>
      <c r="X12" s="294"/>
      <c r="Y12" s="294"/>
      <c r="Z12" s="294"/>
      <c r="AA12" s="294"/>
      <c r="AB12" s="294"/>
      <c r="AC12" s="293"/>
      <c r="AD12" s="294"/>
      <c r="AE12" s="294"/>
      <c r="AF12" s="294"/>
      <c r="AG12" s="294"/>
      <c r="AH12" s="294"/>
      <c r="AI12" s="294"/>
      <c r="AJ12" s="294"/>
      <c r="AK12" s="293"/>
      <c r="AL12" s="294"/>
      <c r="AM12" s="221"/>
      <c r="AO12" s="428"/>
      <c r="AP12" s="428" t="str">
        <f t="shared" si="0"/>
        <v>Добавить схему подключения</v>
      </c>
      <c r="AQ12" s="428"/>
      <c r="AR12" s="428"/>
    </row>
    <row r="13" spans="1:44" s="1772" customFormat="1" ht="0.75" hidden="1" customHeight="1">
      <c r="A13" s="1200"/>
      <c r="B13" s="1200"/>
      <c r="C13" s="1200"/>
      <c r="D13" s="1200"/>
      <c r="E13" s="2236"/>
      <c r="F13" s="2236"/>
      <c r="G13" s="2235"/>
      <c r="H13" s="1200"/>
      <c r="I13" s="1200"/>
      <c r="J13" s="1200"/>
      <c r="K13" s="1200"/>
      <c r="L13" s="1224"/>
      <c r="M13" s="1201"/>
      <c r="N13" s="1201"/>
      <c r="P13" s="1202"/>
      <c r="Q13" s="1203"/>
      <c r="R13" s="1202"/>
      <c r="S13" s="1204"/>
      <c r="T13" s="1205" t="s">
        <v>1436</v>
      </c>
      <c r="U13" s="1206"/>
      <c r="V13" s="1206"/>
      <c r="W13" s="1206"/>
      <c r="X13" s="1206"/>
      <c r="Y13" s="1206"/>
      <c r="Z13" s="1206"/>
      <c r="AA13" s="1206"/>
      <c r="AB13" s="1206"/>
      <c r="AC13" s="1206"/>
      <c r="AD13" s="1206"/>
      <c r="AE13" s="1206"/>
      <c r="AF13" s="1206"/>
      <c r="AG13" s="1206"/>
      <c r="AH13" s="1206"/>
      <c r="AI13" s="1206"/>
      <c r="AJ13" s="1206"/>
      <c r="AK13" s="1206"/>
      <c r="AL13" s="1206"/>
      <c r="AM13" s="1206"/>
      <c r="AO13" s="696"/>
      <c r="AP13" s="696" t="str">
        <f t="shared" si="0"/>
        <v>Добавить источник для дифференциации</v>
      </c>
      <c r="AQ13" s="696"/>
      <c r="AR13" s="696"/>
    </row>
    <row r="14" spans="1:44" s="1772" customFormat="1" ht="0.75" hidden="1" customHeight="1">
      <c r="A14" s="1200"/>
      <c r="B14" s="1200"/>
      <c r="C14" s="1200"/>
      <c r="D14" s="1200"/>
      <c r="E14" s="2236"/>
      <c r="F14" s="2235"/>
      <c r="G14" s="1200"/>
      <c r="H14" s="1200"/>
      <c r="I14" s="1200"/>
      <c r="J14" s="1200"/>
      <c r="K14" s="1200"/>
      <c r="L14" s="1224"/>
      <c r="M14" s="1207"/>
      <c r="N14" s="1207"/>
      <c r="P14" s="1202"/>
      <c r="Q14" s="1203"/>
      <c r="R14" s="1202"/>
      <c r="S14" s="1208"/>
      <c r="T14" s="1209" t="s">
        <v>1437</v>
      </c>
      <c r="U14" s="1210"/>
      <c r="V14" s="1210"/>
      <c r="W14" s="1210"/>
      <c r="X14" s="1210"/>
      <c r="Y14" s="1210"/>
      <c r="Z14" s="1210"/>
      <c r="AA14" s="1210"/>
      <c r="AB14" s="1210"/>
      <c r="AC14" s="1210"/>
      <c r="AD14" s="1210"/>
      <c r="AE14" s="1210"/>
      <c r="AF14" s="1210"/>
      <c r="AG14" s="1210"/>
      <c r="AH14" s="1210"/>
      <c r="AI14" s="1210"/>
      <c r="AJ14" s="1210"/>
      <c r="AK14" s="1210"/>
      <c r="AL14" s="1210"/>
      <c r="AM14" s="1210"/>
      <c r="AO14" s="696"/>
      <c r="AP14" s="696" t="str">
        <f t="shared" si="0"/>
        <v>Добавить централизованную систему для дифференциации</v>
      </c>
      <c r="AQ14" s="696"/>
      <c r="AR14" s="696"/>
    </row>
    <row r="15" spans="1:44" s="1772" customFormat="1" ht="0.75" hidden="1" customHeight="1">
      <c r="A15" s="1200"/>
      <c r="B15" s="1200"/>
      <c r="C15" s="1200"/>
      <c r="D15" s="1200"/>
      <c r="E15" s="2235"/>
      <c r="F15" s="1200"/>
      <c r="G15" s="1200"/>
      <c r="H15" s="1200"/>
      <c r="I15" s="1200"/>
      <c r="J15" s="1200"/>
      <c r="K15" s="1200"/>
      <c r="L15" s="1224"/>
      <c r="M15" s="1207"/>
      <c r="N15" s="1207"/>
      <c r="P15" s="1202"/>
      <c r="Q15" s="1203"/>
      <c r="R15" s="1202"/>
      <c r="S15" s="1208"/>
      <c r="T15" s="1211" t="s">
        <v>1438</v>
      </c>
      <c r="U15" s="1210"/>
      <c r="V15" s="1210"/>
      <c r="W15" s="1210"/>
      <c r="X15" s="1210"/>
      <c r="Y15" s="1210"/>
      <c r="Z15" s="1210"/>
      <c r="AA15" s="1210"/>
      <c r="AB15" s="1210"/>
      <c r="AC15" s="1210"/>
      <c r="AD15" s="1210"/>
      <c r="AE15" s="1210"/>
      <c r="AF15" s="1210"/>
      <c r="AG15" s="1210"/>
      <c r="AH15" s="1210"/>
      <c r="AI15" s="1210"/>
      <c r="AJ15" s="1210"/>
      <c r="AK15" s="1210"/>
      <c r="AL15" s="1210"/>
      <c r="AM15" s="1210"/>
      <c r="AO15" s="696"/>
      <c r="AP15" s="696" t="str">
        <f t="shared" si="0"/>
        <v>Добавить территорию для дифференциации</v>
      </c>
      <c r="AQ15" s="696"/>
      <c r="AR15" s="696"/>
    </row>
    <row r="16" spans="1:44" ht="14.25" hidden="1" customHeight="1">
      <c r="AC16" s="254"/>
      <c r="AK16" s="254"/>
    </row>
    <row r="17" spans="1:44" ht="14.25" hidden="1" customHeight="1">
      <c r="P17" s="1197"/>
      <c r="AD17" s="1671"/>
      <c r="AE17" s="1671"/>
      <c r="AF17" s="1671"/>
      <c r="AG17" s="1672"/>
      <c r="AH17" s="2233"/>
      <c r="AI17" s="2232" t="s">
        <v>66</v>
      </c>
      <c r="AJ17" s="2233"/>
      <c r="AK17" s="2232" t="s">
        <v>66</v>
      </c>
    </row>
    <row r="18" spans="1:44" ht="14.25" hidden="1" customHeight="1">
      <c r="P18" s="1197"/>
      <c r="AD18" s="1671"/>
      <c r="AE18" s="1671"/>
      <c r="AF18" s="1671"/>
      <c r="AG18" s="1670" t="str">
        <f>AH17&amp;"-"&amp;AJ17</f>
        <v>-</v>
      </c>
      <c r="AH18" s="2232"/>
      <c r="AI18" s="2232"/>
      <c r="AJ18" s="2232"/>
      <c r="AK18" s="2232"/>
    </row>
    <row r="19" spans="1:44" ht="14.25" hidden="1" customHeight="1">
      <c r="P19" s="1197"/>
      <c r="AK19" s="254"/>
    </row>
    <row r="20" spans="1:44" s="1759" customFormat="1" ht="22.5" hidden="1" customHeight="1">
      <c r="L20" s="1214"/>
      <c r="M20" s="1243"/>
      <c r="N20" s="1243"/>
      <c r="O20" s="1248" t="s">
        <v>1478</v>
      </c>
      <c r="P20" s="1243"/>
      <c r="Q20" s="1252"/>
      <c r="R20" s="1252"/>
      <c r="S20" s="644"/>
      <c r="Z20" s="1248"/>
      <c r="AB20" s="1248"/>
      <c r="AC20" s="1247"/>
      <c r="AH20" s="1248"/>
      <c r="AJ20" s="1248"/>
      <c r="AK20" s="1247"/>
      <c r="AN20" s="439"/>
      <c r="AO20" s="439"/>
      <c r="AP20" s="439"/>
      <c r="AQ20" s="439"/>
      <c r="AR20" s="439"/>
    </row>
    <row r="21" spans="1:44" s="1759" customFormat="1" ht="14.25" hidden="1" customHeight="1">
      <c r="L21" s="1214"/>
      <c r="M21" s="1243"/>
      <c r="N21" s="1243"/>
      <c r="O21" s="1243"/>
      <c r="P21" s="1243"/>
      <c r="Q21" s="1252"/>
      <c r="R21" s="1252"/>
      <c r="S21" s="644"/>
      <c r="AC21" s="1247"/>
      <c r="AK21" s="1247"/>
      <c r="AN21" s="439"/>
      <c r="AO21" s="439"/>
      <c r="AP21" s="439"/>
      <c r="AQ21" s="439"/>
      <c r="AR21" s="439"/>
    </row>
    <row r="22" spans="1:44" s="1759" customFormat="1" ht="14.25" hidden="1" customHeight="1">
      <c r="L22" s="1214"/>
      <c r="M22" s="1243"/>
      <c r="N22" s="1243"/>
      <c r="O22" s="1245" t="s">
        <v>1479</v>
      </c>
      <c r="P22" s="1243"/>
      <c r="Q22" s="1252"/>
      <c r="R22" s="1252"/>
      <c r="S22" s="644"/>
      <c r="T22" s="1036" t="s">
        <v>1480</v>
      </c>
      <c r="AA22" s="111" t="s">
        <v>1481</v>
      </c>
      <c r="AC22" s="111" t="s">
        <v>1482</v>
      </c>
      <c r="AD22" s="1036" t="s">
        <v>1480</v>
      </c>
      <c r="AI22" s="111" t="s">
        <v>1483</v>
      </c>
      <c r="AK22" s="111" t="s">
        <v>1482</v>
      </c>
      <c r="AN22" s="439"/>
      <c r="AO22" s="439"/>
      <c r="AP22" s="439"/>
      <c r="AQ22" s="439"/>
      <c r="AR22" s="439"/>
    </row>
    <row r="23" spans="1:44" ht="14.25" hidden="1" customHeight="1">
      <c r="O23" s="1245"/>
      <c r="P23" s="1197"/>
    </row>
    <row r="24" spans="1:44" ht="14.25" hidden="1" customHeight="1">
      <c r="O24" s="1245"/>
      <c r="P24" s="1197"/>
    </row>
    <row r="25" spans="1:44" ht="14.25" customHeight="1">
      <c r="Q25" s="304"/>
      <c r="R25" s="304"/>
      <c r="S25" s="1158"/>
      <c r="T25" s="289"/>
      <c r="U25" s="289"/>
      <c r="V25" s="437"/>
      <c r="W25" s="437"/>
      <c r="X25" s="437"/>
      <c r="Y25" s="437"/>
      <c r="Z25" s="437"/>
      <c r="AA25" s="437"/>
      <c r="AB25" s="437"/>
      <c r="AC25" s="437"/>
      <c r="AD25" s="437"/>
      <c r="AE25" s="437"/>
      <c r="AF25" s="437"/>
      <c r="AG25" s="437"/>
      <c r="AH25" s="437"/>
      <c r="AI25" s="437"/>
      <c r="AJ25" s="437"/>
      <c r="AK25" s="437"/>
    </row>
    <row r="26" spans="1:44" ht="64.5" customHeight="1">
      <c r="Q26" s="304"/>
      <c r="R26" s="304"/>
      <c r="S26" s="2079" t="str">
        <f>IF(TEMPLATE_GROUP="P",PT_P_FORM_HEAT_4_NAME_FORM,PT_R_FORM_HEAT_21_NAME_FORM)</f>
        <v>Форма 21. Информация о расчетной величине тарифов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тарифов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v>
      </c>
      <c r="T26" s="2079"/>
      <c r="U26" s="2079"/>
      <c r="V26" s="2079"/>
      <c r="W26" s="2079"/>
      <c r="X26" s="2079"/>
      <c r="Y26" s="2079"/>
      <c r="Z26" s="2079"/>
      <c r="AA26" s="2079"/>
      <c r="AB26" s="2079"/>
      <c r="AC26" s="2079"/>
      <c r="AD26" s="2079"/>
      <c r="AE26" s="2079"/>
      <c r="AF26" s="2079"/>
      <c r="AG26" s="2079"/>
      <c r="AH26" s="2079"/>
      <c r="AI26" s="2079"/>
      <c r="AJ26" s="2079"/>
      <c r="AK26" s="1116"/>
    </row>
    <row r="27" spans="1:44" ht="14.25" customHeight="1">
      <c r="Q27" s="304"/>
      <c r="R27" s="304"/>
      <c r="S27" s="2102" t="str">
        <f>IF(org=0,"Не определено",org)</f>
        <v>ООО "Автозаводская ТЭЦ"</v>
      </c>
      <c r="T27" s="2102"/>
      <c r="U27" s="2102"/>
      <c r="V27" s="2102"/>
      <c r="W27" s="2102"/>
      <c r="X27" s="2102"/>
      <c r="Y27" s="2102"/>
      <c r="Z27" s="2102"/>
      <c r="AA27" s="2102"/>
      <c r="AB27" s="2102"/>
      <c r="AC27" s="2102"/>
      <c r="AD27" s="2102"/>
      <c r="AE27" s="2102"/>
      <c r="AF27" s="2102"/>
      <c r="AG27" s="2102"/>
      <c r="AH27" s="2102"/>
      <c r="AI27" s="2102"/>
      <c r="AJ27" s="2102"/>
      <c r="AK27" s="1116"/>
    </row>
    <row r="28" spans="1:44" ht="14.25" hidden="1" customHeight="1">
      <c r="Q28" s="304"/>
      <c r="R28" s="304"/>
      <c r="S28" s="1158"/>
      <c r="T28" s="289"/>
      <c r="U28" s="289"/>
      <c r="V28" s="248"/>
      <c r="W28" s="248"/>
      <c r="X28" s="248"/>
      <c r="Y28" s="248"/>
      <c r="Z28" s="248"/>
      <c r="AA28" s="248"/>
      <c r="AB28" s="248"/>
      <c r="AC28" s="248"/>
      <c r="AD28" s="248"/>
      <c r="AE28" s="248"/>
      <c r="AF28" s="248"/>
      <c r="AG28" s="248"/>
      <c r="AH28" s="248"/>
      <c r="AI28" s="248"/>
      <c r="AJ28" s="248"/>
      <c r="AK28" s="248"/>
      <c r="AL28" s="437"/>
    </row>
    <row r="29" spans="1:44" s="1950" customFormat="1" ht="25.5" hidden="1" customHeight="1">
      <c r="A29" s="1249"/>
      <c r="B29" s="1249"/>
      <c r="C29" s="1249"/>
      <c r="D29" s="1249"/>
      <c r="E29" s="1249"/>
      <c r="F29" s="1249"/>
      <c r="G29" s="1249"/>
      <c r="H29" s="1249"/>
      <c r="I29" s="1249"/>
      <c r="J29" s="1249"/>
      <c r="K29" s="1249"/>
      <c r="L29" s="1250"/>
      <c r="M29" s="1249"/>
      <c r="N29" s="1249"/>
      <c r="O29" s="1249"/>
      <c r="S29" s="2227" t="s">
        <v>38</v>
      </c>
      <c r="T29" s="2227"/>
      <c r="U29" s="1253"/>
      <c r="V29" s="2228" t="str">
        <f>IF(TITLE_NAME_OR_PR_CHANGE="",IF(TITLE_NAME_OR_PR="","",TITLE_NAME_OR_PR),TITLE_NAME_OR_PR_CHANGE)</f>
        <v/>
      </c>
      <c r="W29" s="2228"/>
      <c r="X29" s="2228"/>
      <c r="Y29" s="2228"/>
      <c r="Z29" s="2228"/>
      <c r="AA29" s="2228"/>
      <c r="AB29" s="2228"/>
      <c r="AC29" s="253"/>
      <c r="AD29" s="2228" t="str">
        <f>IF(TITLE_NAME_OR_PR_CHANGE="",IF(TITLE_NAME_OR_PR="","",TITLE_NAME_OR_PR),TITLE_NAME_OR_PR_CHANGE)</f>
        <v/>
      </c>
      <c r="AE29" s="2228"/>
      <c r="AF29" s="2228"/>
      <c r="AG29" s="2228"/>
      <c r="AH29" s="2228"/>
      <c r="AI29" s="2228"/>
      <c r="AJ29" s="2228"/>
      <c r="AK29" s="253"/>
      <c r="AL29" s="253"/>
      <c r="AM29" s="199"/>
      <c r="AN29" s="295"/>
      <c r="AO29" s="295"/>
      <c r="AP29" s="295"/>
      <c r="AQ29" s="295"/>
      <c r="AR29" s="295"/>
    </row>
    <row r="30" spans="1:44" s="1950" customFormat="1" ht="18.75" hidden="1" customHeight="1">
      <c r="A30" s="1249"/>
      <c r="B30" s="1249"/>
      <c r="C30" s="1249"/>
      <c r="D30" s="1249"/>
      <c r="E30" s="1249"/>
      <c r="F30" s="1249"/>
      <c r="G30" s="1249"/>
      <c r="H30" s="1249"/>
      <c r="I30" s="1249"/>
      <c r="J30" s="1249"/>
      <c r="K30" s="1249"/>
      <c r="L30" s="1250"/>
      <c r="M30" s="1249"/>
      <c r="N30" s="1249"/>
      <c r="O30" s="1249"/>
      <c r="S30" s="2227" t="s">
        <v>1484</v>
      </c>
      <c r="T30" s="2227"/>
      <c r="U30" s="1253"/>
      <c r="V30" s="2228" t="str">
        <f>IF(TITLE_DATE_CHANGE_PERIOD="",IF(TITLE_DATE_PR="","",TITLE_DATE_PR),TITLE_DATE_CHANGE_PERIOD)</f>
        <v/>
      </c>
      <c r="W30" s="2228"/>
      <c r="X30" s="2228"/>
      <c r="Y30" s="2228"/>
      <c r="Z30" s="2228"/>
      <c r="AA30" s="2228"/>
      <c r="AB30" s="2228"/>
      <c r="AC30" s="253"/>
      <c r="AD30" s="2228" t="str">
        <f>IF(TITLE_DATE_CHANGE_PERIOD="",IF(TITLE_DATE_PR="","",TITLE_DATE_PR),TITLE_DATE_CHANGE_PERIOD)</f>
        <v/>
      </c>
      <c r="AE30" s="2228"/>
      <c r="AF30" s="2228"/>
      <c r="AG30" s="2228"/>
      <c r="AH30" s="2228"/>
      <c r="AI30" s="2228"/>
      <c r="AJ30" s="2228"/>
      <c r="AK30" s="253"/>
      <c r="AL30" s="253"/>
      <c r="AM30" s="199"/>
      <c r="AN30" s="295"/>
      <c r="AO30" s="295"/>
      <c r="AP30" s="295"/>
      <c r="AQ30" s="295"/>
      <c r="AR30" s="295"/>
    </row>
    <row r="31" spans="1:44" s="1950" customFormat="1" ht="18.75" hidden="1" customHeight="1">
      <c r="A31" s="1249"/>
      <c r="B31" s="1249"/>
      <c r="C31" s="1249"/>
      <c r="D31" s="1249"/>
      <c r="E31" s="1249"/>
      <c r="F31" s="1249"/>
      <c r="G31" s="1249"/>
      <c r="H31" s="1249"/>
      <c r="I31" s="1249"/>
      <c r="J31" s="1249"/>
      <c r="K31" s="1249"/>
      <c r="L31" s="1250"/>
      <c r="M31" s="1249"/>
      <c r="N31" s="1249"/>
      <c r="O31" s="1249"/>
      <c r="S31" s="2227" t="s">
        <v>1485</v>
      </c>
      <c r="T31" s="2227"/>
      <c r="U31" s="1253"/>
      <c r="V31" s="2228" t="str">
        <f>IF(TITLE_NUMBER_PR_CHANGE="",IF(TITLE_NUMBER_PR="","",TITLE_NUMBER_PR),TITLE_NUMBER_PR_CHANGE)</f>
        <v/>
      </c>
      <c r="W31" s="2228"/>
      <c r="X31" s="2228"/>
      <c r="Y31" s="2228"/>
      <c r="Z31" s="2228"/>
      <c r="AA31" s="2228"/>
      <c r="AB31" s="2228"/>
      <c r="AC31" s="253"/>
      <c r="AD31" s="2228" t="str">
        <f>IF(TITLE_NUMBER_PR_CHANGE="",IF(TITLE_NUMBER_PR="","",TITLE_NUMBER_PR),TITLE_NUMBER_PR_CHANGE)</f>
        <v/>
      </c>
      <c r="AE31" s="2228"/>
      <c r="AF31" s="2228"/>
      <c r="AG31" s="2228"/>
      <c r="AH31" s="2228"/>
      <c r="AI31" s="2228"/>
      <c r="AJ31" s="2228"/>
      <c r="AK31" s="253"/>
      <c r="AL31" s="253"/>
      <c r="AM31" s="199"/>
      <c r="AN31" s="295"/>
      <c r="AO31" s="295"/>
      <c r="AP31" s="295"/>
      <c r="AQ31" s="295"/>
      <c r="AR31" s="295"/>
    </row>
    <row r="32" spans="1:44" s="1950" customFormat="1" ht="18.75" hidden="1" customHeight="1">
      <c r="A32" s="1249"/>
      <c r="B32" s="1249"/>
      <c r="C32" s="1249"/>
      <c r="D32" s="1249"/>
      <c r="E32" s="1249"/>
      <c r="F32" s="1249"/>
      <c r="G32" s="1249"/>
      <c r="H32" s="1249"/>
      <c r="I32" s="1249"/>
      <c r="J32" s="1249"/>
      <c r="K32" s="1249"/>
      <c r="L32" s="1250"/>
      <c r="M32" s="1249"/>
      <c r="N32" s="1249"/>
      <c r="O32" s="1249"/>
      <c r="S32" s="2227" t="s">
        <v>39</v>
      </c>
      <c r="T32" s="2227"/>
      <c r="U32" s="1253"/>
      <c r="V32" s="2228" t="str">
        <f>IF(TITLE_IST_PUB_CHANGE="",IF(TITLE_IST_PUB="","",TITLE_IST_PUB),TITLE_IST_PUB_CHANGE)</f>
        <v/>
      </c>
      <c r="W32" s="2228"/>
      <c r="X32" s="2228"/>
      <c r="Y32" s="2228"/>
      <c r="Z32" s="2228"/>
      <c r="AA32" s="2228"/>
      <c r="AB32" s="2228"/>
      <c r="AC32" s="253"/>
      <c r="AD32" s="2228" t="str">
        <f>IF(TITLE_IST_PUB_CHANGE="",IF(TITLE_IST_PUB="","",TITLE_IST_PUB),TITLE_IST_PUB_CHANGE)</f>
        <v/>
      </c>
      <c r="AE32" s="2228"/>
      <c r="AF32" s="2228"/>
      <c r="AG32" s="2228"/>
      <c r="AH32" s="2228"/>
      <c r="AI32" s="2228"/>
      <c r="AJ32" s="2228"/>
      <c r="AK32" s="253"/>
      <c r="AL32" s="253"/>
      <c r="AM32" s="199"/>
      <c r="AN32" s="295"/>
      <c r="AO32" s="295"/>
      <c r="AP32" s="295"/>
      <c r="AQ32" s="295"/>
      <c r="AR32" s="295"/>
    </row>
    <row r="33" spans="1:44" ht="14.25" hidden="1" customHeight="1">
      <c r="P33" s="1213"/>
      <c r="Q33" s="304"/>
      <c r="R33" s="304"/>
      <c r="S33" s="1158"/>
      <c r="T33" s="289"/>
      <c r="U33" s="289"/>
      <c r="V33" s="248"/>
      <c r="W33" s="248"/>
      <c r="X33" s="248"/>
      <c r="Y33" s="248"/>
      <c r="Z33" s="248"/>
      <c r="AA33" s="248"/>
      <c r="AB33" s="248"/>
      <c r="AC33" s="248"/>
      <c r="AD33" s="248"/>
      <c r="AE33" s="248"/>
      <c r="AF33" s="248"/>
      <c r="AG33" s="248"/>
      <c r="AH33" s="248"/>
      <c r="AI33" s="248"/>
      <c r="AJ33" s="248"/>
      <c r="AK33" s="248"/>
      <c r="AL33" s="437"/>
    </row>
    <row r="34" spans="1:44" s="1950" customFormat="1" ht="18.75" hidden="1" customHeight="1">
      <c r="A34" s="1249"/>
      <c r="B34" s="1249"/>
      <c r="C34" s="1249"/>
      <c r="D34" s="1249"/>
      <c r="E34" s="1249"/>
      <c r="F34" s="1249"/>
      <c r="G34" s="1249"/>
      <c r="H34" s="1249"/>
      <c r="I34" s="1249"/>
      <c r="J34" s="1249"/>
      <c r="K34" s="1249"/>
      <c r="L34" s="1250"/>
      <c r="M34" s="1249"/>
      <c r="N34" s="1249"/>
      <c r="O34" s="1249"/>
      <c r="S34" s="2227" t="s">
        <v>1486</v>
      </c>
      <c r="T34" s="2227"/>
      <c r="U34" s="1253"/>
      <c r="V34" s="2228" t="str">
        <f>IF(TITLE_DATE_CHANGE_PERIOD="",IF(TITLE_DATE_PR="","",TITLE_DATE_PR),TITLE_DATE_CHANGE_PERIOD)</f>
        <v/>
      </c>
      <c r="W34" s="2228"/>
      <c r="X34" s="2228"/>
      <c r="Y34" s="2228"/>
      <c r="Z34" s="2228"/>
      <c r="AA34" s="2228"/>
      <c r="AB34" s="2228"/>
      <c r="AC34" s="253"/>
      <c r="AD34" s="2228" t="str">
        <f>IF(TITLE_DATE_CHANGE_PERIOD="",IF(TITLE_DATE_PR="","",TITLE_DATE_PR),TITLE_DATE_CHANGE_PERIOD)</f>
        <v/>
      </c>
      <c r="AE34" s="2228"/>
      <c r="AF34" s="2228"/>
      <c r="AG34" s="2228"/>
      <c r="AH34" s="2228"/>
      <c r="AI34" s="2228"/>
      <c r="AJ34" s="2228"/>
      <c r="AK34" s="253"/>
      <c r="AL34" s="253"/>
      <c r="AM34" s="199"/>
      <c r="AN34" s="295"/>
      <c r="AO34" s="295"/>
      <c r="AP34" s="295"/>
      <c r="AQ34" s="295"/>
      <c r="AR34" s="295"/>
    </row>
    <row r="35" spans="1:44" s="1950" customFormat="1" ht="18.75" hidden="1" customHeight="1">
      <c r="A35" s="1249"/>
      <c r="B35" s="1249"/>
      <c r="C35" s="1249"/>
      <c r="D35" s="1249"/>
      <c r="E35" s="1249"/>
      <c r="F35" s="1249"/>
      <c r="G35" s="1249"/>
      <c r="H35" s="1249"/>
      <c r="I35" s="1249"/>
      <c r="J35" s="1249"/>
      <c r="K35" s="1249"/>
      <c r="L35" s="1250"/>
      <c r="M35" s="1249"/>
      <c r="N35" s="1249"/>
      <c r="O35" s="1249"/>
      <c r="S35" s="2227" t="s">
        <v>1487</v>
      </c>
      <c r="T35" s="2227"/>
      <c r="U35" s="1253"/>
      <c r="V35" s="2228" t="str">
        <f>IF(TITLE_NUMBER_PR_CHANGE="",IF(TITLE_NUMBER_PR="","",TITLE_NUMBER_PR),TITLE_NUMBER_PR_CHANGE)</f>
        <v/>
      </c>
      <c r="W35" s="2228"/>
      <c r="X35" s="2228"/>
      <c r="Y35" s="2228"/>
      <c r="Z35" s="2228"/>
      <c r="AA35" s="2228"/>
      <c r="AB35" s="2228"/>
      <c r="AC35" s="253"/>
      <c r="AD35" s="2228" t="str">
        <f>IF(TITLE_NUMBER_PR_CHANGE="",IF(TITLE_NUMBER_PR="","",TITLE_NUMBER_PR),TITLE_NUMBER_PR_CHANGE)</f>
        <v/>
      </c>
      <c r="AE35" s="2228"/>
      <c r="AF35" s="2228"/>
      <c r="AG35" s="2228"/>
      <c r="AH35" s="2228"/>
      <c r="AI35" s="2228"/>
      <c r="AJ35" s="2228"/>
      <c r="AK35" s="253"/>
      <c r="AL35" s="253"/>
      <c r="AM35" s="199"/>
      <c r="AN35" s="295"/>
      <c r="AO35" s="295"/>
      <c r="AP35" s="295"/>
      <c r="AQ35" s="295"/>
      <c r="AR35" s="295"/>
    </row>
    <row r="36" spans="1:44" s="1950" customFormat="1" ht="0" hidden="1" customHeight="1">
      <c r="A36" s="1249"/>
      <c r="B36" s="1249"/>
      <c r="C36" s="1249"/>
      <c r="D36" s="1249"/>
      <c r="E36" s="1249"/>
      <c r="F36" s="1249"/>
      <c r="G36" s="1249"/>
      <c r="H36" s="1249"/>
      <c r="I36" s="1249"/>
      <c r="J36" s="1249"/>
      <c r="K36" s="1249"/>
      <c r="L36" s="1250"/>
      <c r="M36" s="1249"/>
      <c r="N36" s="1249"/>
      <c r="O36" s="1249"/>
      <c r="S36" s="250"/>
      <c r="T36" s="250"/>
      <c r="U36" s="1088"/>
      <c r="V36" s="253"/>
      <c r="W36" s="253"/>
      <c r="X36" s="253"/>
      <c r="Y36" s="253"/>
      <c r="Z36" s="253"/>
      <c r="AA36" s="253"/>
      <c r="AB36" s="253"/>
      <c r="AC36" s="197" t="s">
        <v>1488</v>
      </c>
      <c r="AD36" s="253"/>
      <c r="AE36" s="253"/>
      <c r="AF36" s="253"/>
      <c r="AG36" s="253"/>
      <c r="AH36" s="253"/>
      <c r="AI36" s="253"/>
      <c r="AJ36" s="253"/>
      <c r="AK36" s="197" t="s">
        <v>1488</v>
      </c>
      <c r="AN36" s="295"/>
      <c r="AO36" s="295"/>
      <c r="AP36" s="295"/>
      <c r="AQ36" s="295"/>
      <c r="AR36" s="295"/>
    </row>
    <row r="37" spans="1:44" ht="14.25" customHeight="1">
      <c r="Q37" s="304"/>
      <c r="R37" s="304"/>
      <c r="S37" s="1158"/>
      <c r="T37" s="289"/>
      <c r="U37" s="1117"/>
      <c r="V37" s="2246"/>
      <c r="W37" s="2246"/>
      <c r="X37" s="2246"/>
      <c r="Y37" s="2246"/>
      <c r="Z37" s="2246"/>
      <c r="AA37" s="2246"/>
      <c r="AB37" s="2246"/>
      <c r="AC37" s="2246"/>
      <c r="AD37" s="2246"/>
      <c r="AE37" s="2246"/>
      <c r="AF37" s="2246"/>
      <c r="AG37" s="2246"/>
      <c r="AH37" s="2246"/>
      <c r="AI37" s="2246"/>
      <c r="AJ37" s="2246"/>
      <c r="AK37" s="2246"/>
    </row>
    <row r="38" spans="1:44" ht="14.25" customHeight="1">
      <c r="Q38" s="304"/>
      <c r="R38" s="304"/>
      <c r="S38" s="2021" t="s">
        <v>292</v>
      </c>
      <c r="T38" s="2021"/>
      <c r="U38" s="2021"/>
      <c r="V38" s="2021"/>
      <c r="W38" s="2021"/>
      <c r="X38" s="2021"/>
      <c r="Y38" s="2021"/>
      <c r="Z38" s="2021"/>
      <c r="AA38" s="2021"/>
      <c r="AB38" s="2021"/>
      <c r="AC38" s="2021"/>
      <c r="AD38" s="2021"/>
      <c r="AE38" s="2021"/>
      <c r="AF38" s="2021"/>
      <c r="AG38" s="2021"/>
      <c r="AH38" s="2021"/>
      <c r="AI38" s="2021"/>
      <c r="AJ38" s="2021"/>
      <c r="AK38" s="2021"/>
      <c r="AL38" s="2021"/>
      <c r="AM38" s="2021" t="s">
        <v>293</v>
      </c>
    </row>
    <row r="39" spans="1:44" ht="14.25" customHeight="1">
      <c r="Q39" s="304"/>
      <c r="R39" s="304"/>
      <c r="S39" s="2247" t="s">
        <v>88</v>
      </c>
      <c r="T39" s="2111" t="s">
        <v>1489</v>
      </c>
      <c r="U39" s="219"/>
      <c r="V39" s="2248" t="s">
        <v>1490</v>
      </c>
      <c r="W39" s="2249"/>
      <c r="X39" s="2249"/>
      <c r="Y39" s="2249"/>
      <c r="Z39" s="2249"/>
      <c r="AA39" s="2249"/>
      <c r="AB39" s="2250"/>
      <c r="AC39" s="2251" t="s">
        <v>1491</v>
      </c>
      <c r="AD39" s="2248" t="s">
        <v>1490</v>
      </c>
      <c r="AE39" s="2249"/>
      <c r="AF39" s="2249"/>
      <c r="AG39" s="2249"/>
      <c r="AH39" s="2249"/>
      <c r="AI39" s="2249"/>
      <c r="AJ39" s="2250"/>
      <c r="AK39" s="2251" t="s">
        <v>1492</v>
      </c>
      <c r="AL39" s="2254" t="s">
        <v>1493</v>
      </c>
      <c r="AM39" s="2021"/>
    </row>
    <row r="40" spans="1:44" ht="33.75" customHeight="1">
      <c r="Q40" s="304"/>
      <c r="R40" s="304"/>
      <c r="S40" s="2247"/>
      <c r="T40" s="2111"/>
      <c r="U40" s="924"/>
      <c r="V40" s="2080" t="s">
        <v>1494</v>
      </c>
      <c r="W40" s="2243" t="s">
        <v>1495</v>
      </c>
      <c r="X40" s="2003" t="s">
        <v>1496</v>
      </c>
      <c r="Y40" s="2002"/>
      <c r="Z40" s="2003" t="s">
        <v>1497</v>
      </c>
      <c r="AA40" s="2008"/>
      <c r="AB40" s="2002"/>
      <c r="AC40" s="2252"/>
      <c r="AD40" s="2080" t="s">
        <v>1494</v>
      </c>
      <c r="AE40" s="2243" t="s">
        <v>1495</v>
      </c>
      <c r="AF40" s="2003" t="s">
        <v>1496</v>
      </c>
      <c r="AG40" s="2002"/>
      <c r="AH40" s="2003" t="s">
        <v>1497</v>
      </c>
      <c r="AI40" s="2008"/>
      <c r="AJ40" s="2002"/>
      <c r="AK40" s="2252"/>
      <c r="AL40" s="2255"/>
      <c r="AM40" s="2021"/>
    </row>
    <row r="41" spans="1:44" ht="33.75" customHeight="1">
      <c r="A41" s="1251"/>
      <c r="B41" s="1251" t="s">
        <v>136</v>
      </c>
      <c r="C41" s="1251" t="s">
        <v>137</v>
      </c>
      <c r="D41" s="1251" t="s">
        <v>138</v>
      </c>
      <c r="E41" s="1245" t="s">
        <v>1498</v>
      </c>
      <c r="F41" s="1245" t="s">
        <v>1499</v>
      </c>
      <c r="G41" s="1245" t="s">
        <v>1500</v>
      </c>
      <c r="H41" s="1245" t="s">
        <v>1501</v>
      </c>
      <c r="I41" s="1245" t="s">
        <v>1502</v>
      </c>
      <c r="J41" s="1245" t="s">
        <v>1503</v>
      </c>
      <c r="K41" s="1245" t="s">
        <v>1504</v>
      </c>
      <c r="L41" s="1245" t="s">
        <v>1479</v>
      </c>
      <c r="Q41" s="304"/>
      <c r="R41" s="304"/>
      <c r="S41" s="2247"/>
      <c r="T41" s="2111"/>
      <c r="U41" s="220"/>
      <c r="V41" s="2136"/>
      <c r="W41" s="2244"/>
      <c r="X41" s="1092" t="s">
        <v>1505</v>
      </c>
      <c r="Y41" s="1092" t="s">
        <v>1506</v>
      </c>
      <c r="Z41" s="1091" t="s">
        <v>1507</v>
      </c>
      <c r="AA41" s="2117" t="s">
        <v>1508</v>
      </c>
      <c r="AB41" s="2131"/>
      <c r="AC41" s="2253"/>
      <c r="AD41" s="2136"/>
      <c r="AE41" s="2244"/>
      <c r="AF41" s="1092" t="s">
        <v>1505</v>
      </c>
      <c r="AG41" s="1092" t="s">
        <v>1506</v>
      </c>
      <c r="AH41" s="1199" t="s">
        <v>1507</v>
      </c>
      <c r="AI41" s="2117" t="s">
        <v>1508</v>
      </c>
      <c r="AJ41" s="2131"/>
      <c r="AK41" s="2253"/>
      <c r="AL41" s="2256"/>
      <c r="AM41" s="2021"/>
    </row>
    <row r="42" spans="1:44" s="1720" customFormat="1" ht="11.25" hidden="1" customHeight="1">
      <c r="A42" s="1251"/>
      <c r="B42" s="1251"/>
      <c r="C42" s="1251"/>
      <c r="D42" s="1251"/>
      <c r="E42" s="1251"/>
      <c r="F42" s="1251"/>
      <c r="G42" s="1251"/>
      <c r="H42" s="1251"/>
      <c r="I42" s="1251"/>
      <c r="J42" s="1251"/>
      <c r="K42" s="1251"/>
      <c r="L42" s="1245"/>
      <c r="M42" s="1243"/>
      <c r="N42" s="1243"/>
      <c r="O42" s="1243"/>
      <c r="P42" s="1119"/>
      <c r="Q42" s="1120"/>
      <c r="R42" s="1135">
        <v>1</v>
      </c>
      <c r="S42" s="1160" t="s">
        <v>109</v>
      </c>
      <c r="T42" s="1136" t="s">
        <v>110</v>
      </c>
      <c r="U42" s="1118" t="str">
        <f ca="1">OFFSET(U42,0,-1)</f>
        <v>2</v>
      </c>
      <c r="V42" s="1137">
        <f ca="1">OFFSET(V42,0,-1)+1</f>
        <v>3</v>
      </c>
      <c r="W42" s="1137"/>
      <c r="X42" s="1137">
        <f ca="1">OFFSET(X42,0,-1)+1</f>
        <v>1</v>
      </c>
      <c r="Y42" s="1137">
        <f ca="1">OFFSET(Y42,0,-1)+1</f>
        <v>2</v>
      </c>
      <c r="Z42" s="1137">
        <f ca="1">OFFSET(Z42,0,-1)+1</f>
        <v>3</v>
      </c>
      <c r="AA42" s="2245">
        <f ca="1">OFFSET(AA42,0,-1)+1</f>
        <v>4</v>
      </c>
      <c r="AB42" s="2245"/>
      <c r="AC42" s="1137">
        <f ca="1">OFFSET(AC42,0,-2)+1</f>
        <v>5</v>
      </c>
      <c r="AD42" s="1198">
        <f ca="1">OFFSET(AD42,0,-1)+1</f>
        <v>6</v>
      </c>
      <c r="AE42" s="1198"/>
      <c r="AF42" s="1198">
        <f ca="1">OFFSET(AF42,0,-1)+1</f>
        <v>1</v>
      </c>
      <c r="AG42" s="1198">
        <f ca="1">OFFSET(AG42,0,-1)+1</f>
        <v>2</v>
      </c>
      <c r="AH42" s="1198">
        <f ca="1">OFFSET(AH42,0,-1)+1</f>
        <v>3</v>
      </c>
      <c r="AI42" s="2245">
        <f ca="1">OFFSET(AI42,0,-1)+1</f>
        <v>4</v>
      </c>
      <c r="AJ42" s="2245"/>
      <c r="AK42" s="1198">
        <f ca="1">OFFSET(AK42,0,-2)+1</f>
        <v>5</v>
      </c>
      <c r="AL42" s="1118">
        <f ca="1">OFFSET(AL42,0,-1)</f>
        <v>5</v>
      </c>
      <c r="AM42" s="1137">
        <f ca="1">OFFSET(AM42,0,-1)+1</f>
        <v>6</v>
      </c>
      <c r="AN42" s="439"/>
      <c r="AO42" s="439"/>
      <c r="AP42" s="439"/>
      <c r="AQ42" s="439"/>
      <c r="AR42" s="439"/>
    </row>
    <row r="43" spans="1:44" ht="23.25" customHeight="1">
      <c r="A43" s="1244" t="s">
        <v>157</v>
      </c>
      <c r="B43" s="1244"/>
      <c r="C43" s="1244"/>
      <c r="D43" s="1244"/>
      <c r="E43" s="2235">
        <v>1</v>
      </c>
      <c r="F43" s="1244"/>
      <c r="G43" s="1244"/>
      <c r="H43" s="1244"/>
      <c r="I43" s="1244"/>
      <c r="J43" s="1244"/>
      <c r="K43" s="1244"/>
      <c r="L43" s="1245"/>
      <c r="M43" s="1246"/>
      <c r="N43" s="1246"/>
      <c r="O43" s="1246"/>
      <c r="P43" s="285"/>
      <c r="Q43" s="284"/>
      <c r="R43" s="279"/>
      <c r="S43" s="1096">
        <f>INDEX(PT_DIFFERENTIATION_NUM_NTAR,MATCH(A43,PT_DIFFERENTIATION_NTAR_ID,0))</f>
        <v>0</v>
      </c>
      <c r="T43" s="216" t="s">
        <v>124</v>
      </c>
      <c r="U43" s="218"/>
      <c r="V43" s="2229"/>
      <c r="W43" s="2230"/>
      <c r="X43" s="2230"/>
      <c r="Y43" s="2230"/>
      <c r="Z43" s="2230"/>
      <c r="AA43" s="2230"/>
      <c r="AB43" s="2230"/>
      <c r="AC43" s="2231"/>
      <c r="AD43" s="2229" t="str">
        <f>INDEX(PT_DIFFERENTIATION_NTAR,MATCH(A43,PT_DIFFERENTIATION_NTAR_ID,0))</f>
        <v/>
      </c>
      <c r="AE43" s="2230"/>
      <c r="AF43" s="2230"/>
      <c r="AG43" s="2230"/>
      <c r="AH43" s="2230"/>
      <c r="AI43" s="2230"/>
      <c r="AJ43" s="2230"/>
      <c r="AK43" s="2230"/>
      <c r="AL43" s="2231"/>
      <c r="AM43" s="1140" t="str">
        <f>"Указывается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8"/>
      <c r="AP43" s="428" t="str">
        <f t="shared" ref="AP43:AP57" si="1">IF(T43="","",T43)</f>
        <v>Наименование тарифа</v>
      </c>
      <c r="AQ43" s="428"/>
      <c r="AR43" s="428"/>
    </row>
    <row r="44" spans="1:44" ht="23.25" customHeight="1">
      <c r="A44" s="1244" t="s">
        <v>157</v>
      </c>
      <c r="B44" s="1244" t="s">
        <v>158</v>
      </c>
      <c r="C44" s="1244"/>
      <c r="D44" s="1244"/>
      <c r="E44" s="2236"/>
      <c r="F44" s="2235">
        <v>1</v>
      </c>
      <c r="G44" s="1244"/>
      <c r="H44" s="1244"/>
      <c r="I44" s="1244"/>
      <c r="J44" s="1244"/>
      <c r="K44" s="1244"/>
      <c r="L44" s="1245"/>
      <c r="M44" s="1246"/>
      <c r="N44" s="1246"/>
      <c r="O44" s="1246"/>
      <c r="P44" s="450"/>
      <c r="Q44" s="276"/>
      <c r="R44" s="277"/>
      <c r="S44" s="1096" t="str">
        <f>INDEX(PT_DIFFERENTIATION_NUM_TER,MATCH(B44,PT_DIFFERENTIATION_TER_ID,0))</f>
        <v>.</v>
      </c>
      <c r="T44" s="228" t="s">
        <v>1461</v>
      </c>
      <c r="U44" s="218"/>
      <c r="V44" s="2229"/>
      <c r="W44" s="2230"/>
      <c r="X44" s="2230"/>
      <c r="Y44" s="2230"/>
      <c r="Z44" s="2230"/>
      <c r="AA44" s="2230"/>
      <c r="AB44" s="2230"/>
      <c r="AC44" s="2231"/>
      <c r="AD44" s="2229" t="str">
        <f>INDEX(PT_DIFFERENTIATION_TER,MATCH(B44,PT_DIFFERENTIATION_TER_ID,0))</f>
        <v/>
      </c>
      <c r="AE44" s="2230"/>
      <c r="AF44" s="2230"/>
      <c r="AG44" s="2230"/>
      <c r="AH44" s="2230"/>
      <c r="AI44" s="2230"/>
      <c r="AJ44" s="2230"/>
      <c r="AK44" s="2230"/>
      <c r="AL44" s="2231"/>
      <c r="AM44" s="1140" t="s">
        <v>1462</v>
      </c>
      <c r="AO44" s="428"/>
      <c r="AP44" s="428" t="str">
        <f t="shared" si="1"/>
        <v>Территория действия тарифа</v>
      </c>
      <c r="AQ44" s="428"/>
      <c r="AR44" s="428"/>
    </row>
    <row r="45" spans="1:44" ht="23.25" customHeight="1">
      <c r="A45" s="1244" t="s">
        <v>157</v>
      </c>
      <c r="B45" s="1244" t="s">
        <v>158</v>
      </c>
      <c r="C45" s="1244" t="s">
        <v>159</v>
      </c>
      <c r="D45" s="1244"/>
      <c r="E45" s="2236"/>
      <c r="F45" s="2236"/>
      <c r="G45" s="2235">
        <v>1</v>
      </c>
      <c r="H45" s="1244"/>
      <c r="I45" s="1244"/>
      <c r="J45" s="1244"/>
      <c r="K45" s="1244"/>
      <c r="L45" s="1245"/>
      <c r="M45" s="1246"/>
      <c r="N45" s="1246"/>
      <c r="O45" s="1246"/>
      <c r="P45" s="278"/>
      <c r="Q45" s="276"/>
      <c r="R45" s="277"/>
      <c r="S45" s="1096" t="str">
        <f>INDEX(PT_DIFFERENTIATION_NUM_CS,MATCH(C45,PT_DIFFERENTIATION_CS_ID,0))</f>
        <v>..</v>
      </c>
      <c r="T45" s="229" t="s">
        <v>1463</v>
      </c>
      <c r="U45" s="218"/>
      <c r="V45" s="2229"/>
      <c r="W45" s="2230"/>
      <c r="X45" s="2230"/>
      <c r="Y45" s="2230"/>
      <c r="Z45" s="2230"/>
      <c r="AA45" s="2230"/>
      <c r="AB45" s="2230"/>
      <c r="AC45" s="2231"/>
      <c r="AD45" s="2229" t="str">
        <f>INDEX(PT_DIFFERENTIATION_CS,MATCH(C45,PT_DIFFERENTIATION_CS_ID,0))</f>
        <v/>
      </c>
      <c r="AE45" s="2230"/>
      <c r="AF45" s="2230"/>
      <c r="AG45" s="2230"/>
      <c r="AH45" s="2230"/>
      <c r="AI45" s="2230"/>
      <c r="AJ45" s="2230"/>
      <c r="AK45" s="2230"/>
      <c r="AL45" s="2231"/>
      <c r="AM45" s="1140" t="s">
        <v>1464</v>
      </c>
      <c r="AO45" s="428"/>
      <c r="AP45" s="428" t="str">
        <f t="shared" si="1"/>
        <v xml:space="preserve">Наименование системы теплоснабжения </v>
      </c>
      <c r="AQ45" s="428"/>
      <c r="AR45" s="428"/>
    </row>
    <row r="46" spans="1:44" ht="23.25" customHeight="1">
      <c r="A46" s="1244" t="s">
        <v>157</v>
      </c>
      <c r="B46" s="1244" t="s">
        <v>158</v>
      </c>
      <c r="C46" s="1244" t="s">
        <v>159</v>
      </c>
      <c r="D46" s="1244" t="s">
        <v>160</v>
      </c>
      <c r="E46" s="2236"/>
      <c r="F46" s="2236"/>
      <c r="G46" s="2236"/>
      <c r="H46" s="2235">
        <v>1</v>
      </c>
      <c r="I46" s="1244"/>
      <c r="J46" s="1244"/>
      <c r="K46" s="1244"/>
      <c r="L46" s="1245"/>
      <c r="M46" s="1246"/>
      <c r="N46" s="1246"/>
      <c r="O46" s="1246"/>
      <c r="P46" s="278"/>
      <c r="Q46" s="276"/>
      <c r="R46" s="277"/>
      <c r="S46" s="1096" t="str">
        <f>INDEX(PT_DIFFERENTIATION_NUM_IST_TE,MATCH(D46,PT_DIFFERENTIATION_IST_TE_ID,0))</f>
        <v>...</v>
      </c>
      <c r="T46" s="230" t="s">
        <v>1465</v>
      </c>
      <c r="U46" s="218"/>
      <c r="V46" s="2229"/>
      <c r="W46" s="2230"/>
      <c r="X46" s="2230"/>
      <c r="Y46" s="2230"/>
      <c r="Z46" s="2230"/>
      <c r="AA46" s="2230"/>
      <c r="AB46" s="2230"/>
      <c r="AC46" s="2231"/>
      <c r="AD46" s="2229" t="str">
        <f>INDEX(PT_DIFFERENTIATION_IST_TE,MATCH(D46,PT_DIFFERENTIATION_IST_TE_ID,0))</f>
        <v/>
      </c>
      <c r="AE46" s="2230"/>
      <c r="AF46" s="2230"/>
      <c r="AG46" s="2230"/>
      <c r="AH46" s="2230"/>
      <c r="AI46" s="2230"/>
      <c r="AJ46" s="2230"/>
      <c r="AK46" s="2230"/>
      <c r="AL46" s="2231"/>
      <c r="AM46" s="1140" t="s">
        <v>1466</v>
      </c>
      <c r="AO46" s="428"/>
      <c r="AP46" s="428" t="str">
        <f t="shared" si="1"/>
        <v xml:space="preserve">Источник тепловой энергии  </v>
      </c>
      <c r="AQ46" s="428"/>
      <c r="AR46" s="428"/>
    </row>
    <row r="47" spans="1:44" ht="47.25" customHeight="1">
      <c r="A47" s="1244" t="s">
        <v>157</v>
      </c>
      <c r="B47" s="1244" t="s">
        <v>158</v>
      </c>
      <c r="C47" s="1244" t="s">
        <v>159</v>
      </c>
      <c r="D47" s="1244" t="s">
        <v>160</v>
      </c>
      <c r="E47" s="2236"/>
      <c r="F47" s="2236"/>
      <c r="G47" s="2236"/>
      <c r="H47" s="2236"/>
      <c r="I47" s="2237" t="str">
        <f>S46&amp;".1"</f>
        <v>....1</v>
      </c>
      <c r="J47" s="1244"/>
      <c r="K47" s="1244"/>
      <c r="L47" s="1245" t="s">
        <v>1467</v>
      </c>
      <c r="P47" s="2157">
        <v>1</v>
      </c>
      <c r="Q47" s="1090"/>
      <c r="R47" s="280"/>
      <c r="S47" s="1096" t="str">
        <f>$I47</f>
        <v>....1</v>
      </c>
      <c r="T47" s="203" t="s">
        <v>1468</v>
      </c>
      <c r="U47" s="218"/>
      <c r="V47" s="2224"/>
      <c r="W47" s="2225"/>
      <c r="X47" s="2225"/>
      <c r="Y47" s="2225"/>
      <c r="Z47" s="2225"/>
      <c r="AA47" s="2225"/>
      <c r="AB47" s="2225"/>
      <c r="AC47" s="2226"/>
      <c r="AD47" s="2224"/>
      <c r="AE47" s="2225"/>
      <c r="AF47" s="2225"/>
      <c r="AG47" s="2225"/>
      <c r="AH47" s="2225"/>
      <c r="AI47" s="2225"/>
      <c r="AJ47" s="2225"/>
      <c r="AK47" s="2225"/>
      <c r="AL47" s="2226"/>
      <c r="AM47" s="1140" t="s">
        <v>1469</v>
      </c>
      <c r="AO47" s="428"/>
      <c r="AP47" s="428" t="str">
        <f t="shared" si="1"/>
        <v>Схема подключения теплопотребляющей установки к коллектору источника тепловой энергии</v>
      </c>
      <c r="AQ47" s="428"/>
      <c r="AR47" s="428"/>
    </row>
    <row r="48" spans="1:44" ht="23.25" customHeight="1">
      <c r="A48" s="1244" t="s">
        <v>157</v>
      </c>
      <c r="B48" s="1244" t="s">
        <v>158</v>
      </c>
      <c r="C48" s="1244" t="s">
        <v>159</v>
      </c>
      <c r="D48" s="1244" t="s">
        <v>160</v>
      </c>
      <c r="E48" s="2236"/>
      <c r="F48" s="2236"/>
      <c r="G48" s="2236"/>
      <c r="H48" s="2236"/>
      <c r="I48" s="2238"/>
      <c r="J48" s="2237" t="str">
        <f>I47&amp;".1"</f>
        <v>....1.1</v>
      </c>
      <c r="K48" s="1244"/>
      <c r="L48" s="1245" t="s">
        <v>1470</v>
      </c>
      <c r="P48" s="2157"/>
      <c r="Q48" s="2157">
        <v>1</v>
      </c>
      <c r="R48" s="281"/>
      <c r="S48" s="1096" t="str">
        <f>$J48</f>
        <v>....1.1</v>
      </c>
      <c r="T48" s="204" t="s">
        <v>1471</v>
      </c>
      <c r="U48" s="218"/>
      <c r="V48" s="2224"/>
      <c r="W48" s="2225"/>
      <c r="X48" s="2225"/>
      <c r="Y48" s="2225"/>
      <c r="Z48" s="2225"/>
      <c r="AA48" s="2225"/>
      <c r="AB48" s="2225"/>
      <c r="AC48" s="2226"/>
      <c r="AD48" s="2224"/>
      <c r="AE48" s="2225"/>
      <c r="AF48" s="2225"/>
      <c r="AG48" s="2225"/>
      <c r="AH48" s="2225"/>
      <c r="AI48" s="2225"/>
      <c r="AJ48" s="2225"/>
      <c r="AK48" s="2225"/>
      <c r="AL48" s="2226"/>
      <c r="AM48" s="1140" t="s">
        <v>1472</v>
      </c>
      <c r="AO48" s="428"/>
      <c r="AP48" s="428" t="str">
        <f t="shared" si="1"/>
        <v>Группа потребителей</v>
      </c>
      <c r="AQ48" s="428"/>
      <c r="AR48" s="428"/>
    </row>
    <row r="49" spans="1:44" ht="23.25" customHeight="1">
      <c r="A49" s="1244" t="s">
        <v>157</v>
      </c>
      <c r="B49" s="1244" t="s">
        <v>158</v>
      </c>
      <c r="C49" s="1244" t="s">
        <v>159</v>
      </c>
      <c r="D49" s="1244" t="s">
        <v>160</v>
      </c>
      <c r="E49" s="2236"/>
      <c r="F49" s="2236"/>
      <c r="G49" s="2236"/>
      <c r="H49" s="2236"/>
      <c r="I49" s="2238"/>
      <c r="J49" s="2238"/>
      <c r="K49" s="2237" t="str">
        <f>J48&amp;".1"</f>
        <v>....1.1.1</v>
      </c>
      <c r="L49" s="1245" t="s">
        <v>1473</v>
      </c>
      <c r="P49" s="2157"/>
      <c r="Q49" s="2157"/>
      <c r="R49" s="281">
        <v>1</v>
      </c>
      <c r="S49" s="1096" t="str">
        <f>$K49</f>
        <v>....1.1.1</v>
      </c>
      <c r="T49" s="1232"/>
      <c r="U49" s="218"/>
      <c r="V49" s="1667"/>
      <c r="W49" s="1668"/>
      <c r="X49" s="1667"/>
      <c r="Y49" s="1669"/>
      <c r="Z49" s="2239"/>
      <c r="AA49" s="2031" t="s">
        <v>66</v>
      </c>
      <c r="AB49" s="2239"/>
      <c r="AC49" s="2031" t="s">
        <v>66</v>
      </c>
      <c r="AD49" s="1667"/>
      <c r="AE49" s="1668"/>
      <c r="AF49" s="1667"/>
      <c r="AG49" s="1669"/>
      <c r="AH49" s="2239"/>
      <c r="AI49" s="2031" t="s">
        <v>66</v>
      </c>
      <c r="AJ49" s="2241"/>
      <c r="AK49" s="2031" t="s">
        <v>66</v>
      </c>
      <c r="AL49" s="1675"/>
      <c r="AM49" s="2257" t="s">
        <v>1474</v>
      </c>
      <c r="AN49" s="439" t="e">
        <f ca="1">STRCHECKDATE(V50:AL50)</f>
        <v>#NAME?</v>
      </c>
      <c r="AO49" s="428"/>
      <c r="AP49" s="428" t="str">
        <f t="shared" si="1"/>
        <v/>
      </c>
      <c r="AQ49" s="428"/>
      <c r="AR49" s="428"/>
    </row>
    <row r="50" spans="1:44" ht="0.75" customHeight="1">
      <c r="A50" s="1244" t="s">
        <v>157</v>
      </c>
      <c r="B50" s="1244" t="s">
        <v>158</v>
      </c>
      <c r="C50" s="1244" t="s">
        <v>159</v>
      </c>
      <c r="D50" s="1244" t="s">
        <v>160</v>
      </c>
      <c r="E50" s="2236"/>
      <c r="F50" s="2236"/>
      <c r="G50" s="2236"/>
      <c r="H50" s="2236"/>
      <c r="I50" s="2238"/>
      <c r="J50" s="2238"/>
      <c r="K50" s="2237"/>
      <c r="L50" s="1245"/>
      <c r="P50" s="2157"/>
      <c r="Q50" s="2157"/>
      <c r="R50" s="281"/>
      <c r="S50" s="1094"/>
      <c r="T50" s="218"/>
      <c r="U50" s="218"/>
      <c r="V50" s="1668"/>
      <c r="W50" s="1668"/>
      <c r="X50" s="1668"/>
      <c r="Y50" s="1670" t="str">
        <f>Z49&amp;"-"&amp;AB49</f>
        <v>-</v>
      </c>
      <c r="Z50" s="2240"/>
      <c r="AA50" s="2031"/>
      <c r="AB50" s="2240"/>
      <c r="AC50" s="2031"/>
      <c r="AD50" s="1668"/>
      <c r="AE50" s="1668"/>
      <c r="AF50" s="1668"/>
      <c r="AG50" s="1670" t="str">
        <f>AH49&amp;"-"&amp;AJ49</f>
        <v>-</v>
      </c>
      <c r="AH50" s="2240"/>
      <c r="AI50" s="2031"/>
      <c r="AJ50" s="2242"/>
      <c r="AK50" s="2031"/>
      <c r="AL50" s="1676"/>
      <c r="AM50" s="2258"/>
      <c r="AO50" s="428"/>
      <c r="AP50" s="428" t="str">
        <f t="shared" si="1"/>
        <v/>
      </c>
      <c r="AQ50" s="428"/>
      <c r="AR50" s="428"/>
    </row>
    <row r="51" spans="1:44" ht="11.25" customHeight="1">
      <c r="A51" s="1244" t="s">
        <v>157</v>
      </c>
      <c r="B51" s="1244" t="s">
        <v>158</v>
      </c>
      <c r="C51" s="1244" t="s">
        <v>159</v>
      </c>
      <c r="D51" s="1244" t="s">
        <v>160</v>
      </c>
      <c r="E51" s="2236"/>
      <c r="F51" s="2236"/>
      <c r="G51" s="2236"/>
      <c r="H51" s="2236"/>
      <c r="I51" s="2238"/>
      <c r="J51" s="2237"/>
      <c r="K51" s="1244"/>
      <c r="L51" s="1245"/>
      <c r="P51" s="2157"/>
      <c r="Q51" s="2157"/>
      <c r="R51" s="280"/>
      <c r="S51" s="1161"/>
      <c r="T51" s="206" t="s">
        <v>1475</v>
      </c>
      <c r="U51" s="294"/>
      <c r="V51" s="294"/>
      <c r="W51" s="294"/>
      <c r="X51" s="294"/>
      <c r="Y51" s="294"/>
      <c r="Z51" s="294"/>
      <c r="AA51" s="294"/>
      <c r="AB51" s="294"/>
      <c r="AC51" s="294"/>
      <c r="AD51" s="294"/>
      <c r="AE51" s="294"/>
      <c r="AF51" s="294"/>
      <c r="AG51" s="294"/>
      <c r="AH51" s="294"/>
      <c r="AI51" s="294"/>
      <c r="AJ51" s="294"/>
      <c r="AK51" s="294"/>
      <c r="AL51" s="251"/>
      <c r="AM51" s="2259"/>
      <c r="AO51" s="428"/>
      <c r="AP51" s="428" t="str">
        <f t="shared" si="1"/>
        <v>Добавить вид теплоносителя (параметры теплоносителя)</v>
      </c>
      <c r="AQ51" s="428"/>
      <c r="AR51" s="428"/>
    </row>
    <row r="52" spans="1:44" ht="11.25" customHeight="1">
      <c r="A52" s="1244" t="s">
        <v>157</v>
      </c>
      <c r="B52" s="1244" t="s">
        <v>158</v>
      </c>
      <c r="C52" s="1244" t="s">
        <v>159</v>
      </c>
      <c r="D52" s="1244" t="s">
        <v>160</v>
      </c>
      <c r="E52" s="2236"/>
      <c r="F52" s="2236"/>
      <c r="G52" s="2236"/>
      <c r="H52" s="2236"/>
      <c r="I52" s="2237"/>
      <c r="J52" s="1244"/>
      <c r="K52" s="1244"/>
      <c r="L52" s="1245"/>
      <c r="P52" s="2157"/>
      <c r="Q52" s="1090"/>
      <c r="R52" s="280"/>
      <c r="S52" s="1161"/>
      <c r="T52" s="205" t="s">
        <v>1476</v>
      </c>
      <c r="U52" s="294"/>
      <c r="V52" s="294"/>
      <c r="W52" s="294"/>
      <c r="X52" s="294"/>
      <c r="Y52" s="294"/>
      <c r="Z52" s="294"/>
      <c r="AA52" s="294"/>
      <c r="AB52" s="294"/>
      <c r="AC52" s="293"/>
      <c r="AD52" s="294"/>
      <c r="AE52" s="294"/>
      <c r="AF52" s="294"/>
      <c r="AG52" s="294"/>
      <c r="AH52" s="294"/>
      <c r="AI52" s="294"/>
      <c r="AJ52" s="294"/>
      <c r="AK52" s="293"/>
      <c r="AL52" s="294"/>
      <c r="AM52" s="221"/>
      <c r="AO52" s="428"/>
      <c r="AP52" s="428" t="str">
        <f t="shared" si="1"/>
        <v>Добавить группу потребителей</v>
      </c>
      <c r="AQ52" s="428"/>
      <c r="AR52" s="428"/>
    </row>
    <row r="53" spans="1:44" ht="14.25" customHeight="1">
      <c r="A53" s="1244" t="s">
        <v>157</v>
      </c>
      <c r="B53" s="1244" t="s">
        <v>158</v>
      </c>
      <c r="C53" s="1244" t="s">
        <v>159</v>
      </c>
      <c r="D53" s="1244" t="s">
        <v>160</v>
      </c>
      <c r="E53" s="2236"/>
      <c r="F53" s="2236"/>
      <c r="G53" s="2236"/>
      <c r="H53" s="2235"/>
      <c r="I53" s="1244"/>
      <c r="J53" s="1244"/>
      <c r="K53" s="1244"/>
      <c r="L53" s="1245"/>
      <c r="M53" s="1246"/>
      <c r="N53" s="1246"/>
      <c r="O53" s="464"/>
      <c r="P53" s="284"/>
      <c r="Q53" s="303"/>
      <c r="R53" s="279"/>
      <c r="S53" s="1161"/>
      <c r="T53" s="291" t="s">
        <v>1477</v>
      </c>
      <c r="U53" s="294"/>
      <c r="V53" s="294"/>
      <c r="W53" s="294"/>
      <c r="X53" s="294"/>
      <c r="Y53" s="294"/>
      <c r="Z53" s="294"/>
      <c r="AA53" s="294"/>
      <c r="AB53" s="294"/>
      <c r="AC53" s="293"/>
      <c r="AD53" s="294"/>
      <c r="AE53" s="294"/>
      <c r="AF53" s="294"/>
      <c r="AG53" s="294"/>
      <c r="AH53" s="294"/>
      <c r="AI53" s="294"/>
      <c r="AJ53" s="294"/>
      <c r="AK53" s="293"/>
      <c r="AL53" s="294"/>
      <c r="AM53" s="221"/>
      <c r="AO53" s="428"/>
      <c r="AP53" s="428" t="str">
        <f t="shared" si="1"/>
        <v>Добавить схему подключения</v>
      </c>
      <c r="AQ53" s="428"/>
      <c r="AR53" s="428"/>
    </row>
    <row r="54" spans="1:44" s="1772" customFormat="1" ht="0.75" customHeight="1">
      <c r="A54" s="1228" t="s">
        <v>157</v>
      </c>
      <c r="B54" s="1228" t="s">
        <v>158</v>
      </c>
      <c r="C54" s="1228" t="s">
        <v>159</v>
      </c>
      <c r="D54" s="1200"/>
      <c r="E54" s="2236"/>
      <c r="F54" s="2236"/>
      <c r="G54" s="2235"/>
      <c r="H54" s="1200"/>
      <c r="I54" s="1200"/>
      <c r="J54" s="1200"/>
      <c r="K54" s="1200"/>
      <c r="L54" s="1224"/>
      <c r="M54" s="1201"/>
      <c r="N54" s="1201"/>
      <c r="P54" s="1202"/>
      <c r="Q54" s="1203"/>
      <c r="R54" s="1202"/>
      <c r="S54" s="1208"/>
      <c r="T54" s="1211" t="s">
        <v>1436</v>
      </c>
      <c r="U54" s="1210"/>
      <c r="V54" s="1210"/>
      <c r="W54" s="1210"/>
      <c r="X54" s="1210"/>
      <c r="Y54" s="1210"/>
      <c r="Z54" s="1210"/>
      <c r="AA54" s="1210"/>
      <c r="AB54" s="1210"/>
      <c r="AC54" s="1210"/>
      <c r="AD54" s="1210"/>
      <c r="AE54" s="1210"/>
      <c r="AF54" s="1210"/>
      <c r="AG54" s="1210"/>
      <c r="AH54" s="1210"/>
      <c r="AI54" s="1210"/>
      <c r="AJ54" s="1210"/>
      <c r="AK54" s="1210"/>
      <c r="AL54" s="1210"/>
      <c r="AM54" s="1210"/>
      <c r="AO54" s="696"/>
      <c r="AP54" s="696" t="str">
        <f t="shared" si="1"/>
        <v>Добавить источник для дифференциации</v>
      </c>
      <c r="AQ54" s="696"/>
      <c r="AR54" s="696"/>
    </row>
    <row r="55" spans="1:44" s="1772" customFormat="1" ht="0.75" customHeight="1">
      <c r="A55" s="1228" t="s">
        <v>157</v>
      </c>
      <c r="B55" s="1228" t="s">
        <v>158</v>
      </c>
      <c r="C55" s="1200"/>
      <c r="D55" s="1200"/>
      <c r="E55" s="2236"/>
      <c r="F55" s="2235"/>
      <c r="G55" s="1200"/>
      <c r="H55" s="1200"/>
      <c r="I55" s="1200"/>
      <c r="J55" s="1200"/>
      <c r="K55" s="1200"/>
      <c r="L55" s="1224"/>
      <c r="M55" s="1207"/>
      <c r="N55" s="1207"/>
      <c r="P55" s="1202"/>
      <c r="Q55" s="1203"/>
      <c r="R55" s="1202"/>
      <c r="S55" s="1208"/>
      <c r="T55" s="1211" t="s">
        <v>1437</v>
      </c>
      <c r="U55" s="1210"/>
      <c r="V55" s="1210"/>
      <c r="W55" s="1210"/>
      <c r="X55" s="1210"/>
      <c r="Y55" s="1210"/>
      <c r="Z55" s="1210"/>
      <c r="AA55" s="1210"/>
      <c r="AB55" s="1210"/>
      <c r="AC55" s="1210"/>
      <c r="AD55" s="1210"/>
      <c r="AE55" s="1210"/>
      <c r="AF55" s="1210"/>
      <c r="AG55" s="1210"/>
      <c r="AH55" s="1210"/>
      <c r="AI55" s="1210"/>
      <c r="AJ55" s="1210"/>
      <c r="AK55" s="1210"/>
      <c r="AL55" s="1210"/>
      <c r="AM55" s="1210"/>
      <c r="AO55" s="696"/>
      <c r="AP55" s="696" t="str">
        <f t="shared" si="1"/>
        <v>Добавить централизованную систему для дифференциации</v>
      </c>
      <c r="AQ55" s="696"/>
      <c r="AR55" s="696"/>
    </row>
    <row r="56" spans="1:44" s="1772" customFormat="1" ht="0.75" customHeight="1">
      <c r="A56" s="1228" t="s">
        <v>157</v>
      </c>
      <c r="B56" s="1228"/>
      <c r="C56" s="1228"/>
      <c r="D56" s="1228"/>
      <c r="E56" s="2235"/>
      <c r="F56" s="1228"/>
      <c r="G56" s="1228"/>
      <c r="H56" s="1228"/>
      <c r="I56" s="1228"/>
      <c r="J56" s="1228"/>
      <c r="K56" s="1228"/>
      <c r="L56" s="1231"/>
      <c r="M56" s="1207"/>
      <c r="N56" s="1207"/>
      <c r="O56" s="446"/>
      <c r="P56" s="311"/>
      <c r="Q56" s="1229"/>
      <c r="R56" s="311"/>
      <c r="S56" s="1208"/>
      <c r="T56" s="1211" t="s">
        <v>1438</v>
      </c>
      <c r="U56" s="1210"/>
      <c r="V56" s="1210"/>
      <c r="W56" s="1210"/>
      <c r="X56" s="1210"/>
      <c r="Y56" s="1210"/>
      <c r="Z56" s="1210"/>
      <c r="AA56" s="1210"/>
      <c r="AB56" s="1210"/>
      <c r="AC56" s="1210"/>
      <c r="AD56" s="1210"/>
      <c r="AE56" s="1210"/>
      <c r="AF56" s="1210"/>
      <c r="AG56" s="1210"/>
      <c r="AH56" s="1210"/>
      <c r="AI56" s="1210"/>
      <c r="AJ56" s="1210"/>
      <c r="AK56" s="1210"/>
      <c r="AL56" s="1210"/>
      <c r="AM56" s="1210"/>
      <c r="AO56" s="428"/>
      <c r="AP56" s="428" t="str">
        <f t="shared" si="1"/>
        <v>Добавить территорию для дифференциации</v>
      </c>
      <c r="AQ56" s="428"/>
      <c r="AR56" s="428"/>
    </row>
    <row r="57" spans="1:44" s="1772" customFormat="1" ht="0.75" customHeight="1">
      <c r="A57" s="1200"/>
      <c r="B57" s="1200"/>
      <c r="C57" s="1200"/>
      <c r="D57" s="1200"/>
      <c r="E57" s="1228"/>
      <c r="F57" s="1200"/>
      <c r="G57" s="1200"/>
      <c r="H57" s="1200"/>
      <c r="I57" s="1200"/>
      <c r="J57" s="1200"/>
      <c r="K57" s="1200"/>
      <c r="L57" s="1224"/>
      <c r="M57" s="1207"/>
      <c r="N57" s="1207"/>
      <c r="P57" s="1202"/>
      <c r="Q57" s="1203"/>
      <c r="R57" s="1202"/>
      <c r="S57" s="1208"/>
      <c r="T57" s="1211" t="s">
        <v>1439</v>
      </c>
      <c r="U57" s="1210"/>
      <c r="V57" s="1210"/>
      <c r="W57" s="1210"/>
      <c r="X57" s="1210"/>
      <c r="Y57" s="1210"/>
      <c r="Z57" s="1210"/>
      <c r="AA57" s="1210"/>
      <c r="AB57" s="1210"/>
      <c r="AC57" s="1210"/>
      <c r="AD57" s="1210"/>
      <c r="AE57" s="1210"/>
      <c r="AF57" s="1210"/>
      <c r="AG57" s="1210"/>
      <c r="AH57" s="1210"/>
      <c r="AI57" s="1210"/>
      <c r="AJ57" s="1210"/>
      <c r="AK57" s="1210"/>
      <c r="AL57" s="1210"/>
      <c r="AM57" s="1210"/>
      <c r="AO57" s="696"/>
      <c r="AP57" s="696" t="str">
        <f t="shared" si="1"/>
        <v>Добавить наименование тарифа</v>
      </c>
      <c r="AQ57" s="696"/>
      <c r="AR57" s="696"/>
    </row>
    <row r="58" spans="1:44" ht="11.25" hidden="1" customHeight="1">
      <c r="M58" s="1036"/>
      <c r="N58" s="1036"/>
      <c r="O58" s="464"/>
      <c r="P58" s="1031"/>
      <c r="Q58" s="1031"/>
      <c r="R58" s="1031"/>
      <c r="S58" s="1031"/>
      <c r="AN58" s="1031"/>
      <c r="AO58" s="1031"/>
      <c r="AP58" s="1031"/>
      <c r="AQ58" s="1031"/>
      <c r="AR58" s="1031"/>
    </row>
    <row r="59" spans="1:44" ht="27" hidden="1" customHeight="1">
      <c r="O59" s="464"/>
      <c r="S59" s="1128" t="s">
        <v>1509</v>
      </c>
      <c r="T59" s="2234" t="s">
        <v>1510</v>
      </c>
      <c r="U59" s="2234"/>
      <c r="V59" s="2234"/>
      <c r="W59" s="2234"/>
      <c r="X59" s="2234"/>
      <c r="Y59" s="2234"/>
      <c r="Z59" s="2234"/>
      <c r="AA59" s="2234"/>
      <c r="AB59" s="2234"/>
      <c r="AC59" s="2234"/>
      <c r="AD59" s="2234"/>
      <c r="AE59" s="2234"/>
      <c r="AF59" s="2234"/>
      <c r="AG59" s="2234"/>
      <c r="AH59" s="2234"/>
      <c r="AI59" s="2234"/>
      <c r="AJ59" s="2234"/>
      <c r="AK59" s="2234"/>
      <c r="AL59" s="2234"/>
      <c r="AM59" s="2234"/>
    </row>
    <row r="60" spans="1:44" ht="64.5" hidden="1" customHeight="1">
      <c r="O60" s="464"/>
      <c r="P60" s="1189"/>
      <c r="T60" s="2234" t="s">
        <v>1511</v>
      </c>
      <c r="U60" s="2234"/>
      <c r="V60" s="2234"/>
      <c r="W60" s="2234"/>
      <c r="X60" s="2234"/>
      <c r="Y60" s="2234"/>
      <c r="Z60" s="2234"/>
      <c r="AA60" s="2234"/>
      <c r="AB60" s="2234"/>
      <c r="AC60" s="2234"/>
      <c r="AD60" s="2234"/>
      <c r="AE60" s="2234"/>
      <c r="AF60" s="2234"/>
      <c r="AG60" s="2234"/>
      <c r="AH60" s="2234"/>
      <c r="AI60" s="2234"/>
      <c r="AJ60" s="2234"/>
      <c r="AK60" s="2234"/>
      <c r="AL60" s="2234"/>
      <c r="AM60" s="2234"/>
    </row>
    <row r="61" spans="1:44" ht="14.25" hidden="1" customHeight="1">
      <c r="O61" s="464"/>
    </row>
    <row r="62" spans="1:44" ht="18" hidden="1" customHeight="1">
      <c r="O62" s="464"/>
      <c r="P62" s="1213"/>
      <c r="S62" s="1128" t="s">
        <v>1509</v>
      </c>
      <c r="T62" s="2234" t="s">
        <v>1512</v>
      </c>
      <c r="U62" s="2234"/>
      <c r="V62" s="2234"/>
      <c r="W62" s="2234"/>
      <c r="X62" s="2234"/>
      <c r="Y62" s="2234"/>
      <c r="Z62" s="2234"/>
      <c r="AA62" s="2234"/>
      <c r="AB62" s="2234"/>
      <c r="AC62" s="2234"/>
      <c r="AD62" s="2234"/>
      <c r="AE62" s="2234"/>
      <c r="AF62" s="2234"/>
      <c r="AG62" s="2234"/>
      <c r="AH62" s="2234"/>
      <c r="AI62" s="2234"/>
      <c r="AJ62" s="2234"/>
      <c r="AK62" s="2234"/>
      <c r="AL62" s="2234"/>
      <c r="AM62" s="2234"/>
    </row>
    <row r="63" spans="1:44" ht="18" hidden="1" customHeight="1">
      <c r="O63" s="464"/>
      <c r="P63" s="1213"/>
      <c r="T63" s="2234" t="s">
        <v>1513</v>
      </c>
      <c r="U63" s="2234"/>
      <c r="V63" s="2234"/>
      <c r="W63" s="2234"/>
      <c r="X63" s="2234"/>
      <c r="Y63" s="2234"/>
      <c r="Z63" s="2234"/>
      <c r="AA63" s="2234"/>
      <c r="AB63" s="2234"/>
      <c r="AC63" s="2234"/>
      <c r="AD63" s="2234"/>
      <c r="AE63" s="2234"/>
      <c r="AF63" s="2234"/>
      <c r="AG63" s="2234"/>
      <c r="AH63" s="2234"/>
      <c r="AI63" s="2234"/>
      <c r="AJ63" s="2234"/>
      <c r="AK63" s="2234"/>
      <c r="AL63" s="2234"/>
      <c r="AM63" s="2234"/>
    </row>
    <row r="64" spans="1:44" ht="27.75" hidden="1" customHeight="1">
      <c r="O64" s="464"/>
      <c r="P64" s="1213"/>
      <c r="S64" s="1128"/>
      <c r="T64" s="2234" t="s">
        <v>1514</v>
      </c>
      <c r="U64" s="2234"/>
      <c r="V64" s="2234"/>
      <c r="W64" s="2234"/>
      <c r="X64" s="2234"/>
      <c r="Y64" s="2234"/>
      <c r="Z64" s="2234"/>
      <c r="AA64" s="2234"/>
      <c r="AB64" s="2234"/>
      <c r="AC64" s="2234"/>
      <c r="AD64" s="2234"/>
      <c r="AE64" s="2234"/>
      <c r="AF64" s="2234"/>
      <c r="AG64" s="2234"/>
      <c r="AH64" s="2234"/>
      <c r="AI64" s="2234"/>
      <c r="AJ64" s="2234"/>
      <c r="AK64" s="2234"/>
      <c r="AL64" s="2234"/>
      <c r="AM64" s="2234"/>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759" hidden="1"/>
    <col min="2" max="2" width="11" style="1759" hidden="1" customWidth="1"/>
    <col min="3" max="3" width="10.5703125" style="1759" hidden="1"/>
    <col min="4" max="4" width="11.85546875" style="1759" hidden="1" customWidth="1"/>
    <col min="5" max="5" width="10" style="1759" hidden="1" customWidth="1"/>
    <col min="6" max="6" width="8.7109375" style="1759" hidden="1" customWidth="1"/>
    <col min="7" max="7" width="7.5703125" style="1759" hidden="1" customWidth="1"/>
    <col min="8" max="8" width="11.42578125" style="1759" hidden="1" customWidth="1"/>
    <col min="9" max="9" width="12" style="1759" hidden="1" customWidth="1"/>
    <col min="10" max="10" width="9.85546875" style="1759" hidden="1" customWidth="1"/>
    <col min="11" max="11" width="11.42578125" style="1759" hidden="1" customWidth="1"/>
    <col min="12" max="12" width="19.140625" style="1758" hidden="1" customWidth="1"/>
    <col min="13" max="14" width="12.28515625" style="1686" hidden="1" customWidth="1"/>
    <col min="15" max="15" width="23.42578125" style="1686" hidden="1" customWidth="1"/>
    <col min="16" max="16" width="3.7109375" style="1740" customWidth="1"/>
    <col min="17" max="18" width="3.7109375" style="1677" customWidth="1"/>
    <col min="19" max="19" width="12.7109375" style="1727" customWidth="1"/>
    <col min="20" max="20" width="32" style="1846" customWidth="1"/>
    <col min="21" max="21" width="0.140625" style="1846" customWidth="1"/>
    <col min="22" max="22" width="24.7109375" style="1846" hidden="1" customWidth="1"/>
    <col min="23" max="23" width="0.140625" style="1846" hidden="1" customWidth="1"/>
    <col min="24" max="25" width="24.7109375" style="1846" hidden="1" customWidth="1"/>
    <col min="26" max="26" width="11.7109375" style="1846" hidden="1" customWidth="1"/>
    <col min="27" max="27" width="3.7109375" style="1846" hidden="1" customWidth="1"/>
    <col min="28" max="28" width="11.7109375" style="1846" hidden="1" customWidth="1"/>
    <col min="29" max="29" width="8.5703125" style="1846" hidden="1" customWidth="1"/>
    <col min="30" max="30" width="24.7109375" style="1846" customWidth="1"/>
    <col min="31" max="31" width="0.140625" style="1846" customWidth="1"/>
    <col min="32" max="33" width="24.7109375" style="1846" customWidth="1"/>
    <col min="34" max="34" width="11.7109375" style="1846" customWidth="1"/>
    <col min="35" max="35" width="3.7109375" style="1846" customWidth="1"/>
    <col min="36" max="36" width="11.7109375" style="1846" customWidth="1"/>
    <col min="37" max="37" width="8.5703125" style="1846" hidden="1" customWidth="1"/>
    <col min="38" max="38" width="4.7109375" style="1846" customWidth="1"/>
    <col min="39" max="39" width="115.7109375" style="1846" customWidth="1"/>
    <col min="40" max="41" width="10.5703125" style="1772"/>
    <col min="42" max="42" width="11.140625" style="1772" customWidth="1"/>
    <col min="43" max="44" width="10.5703125" style="1772"/>
  </cols>
  <sheetData>
    <row r="1" spans="1:44" ht="14.25" hidden="1" customHeight="1">
      <c r="Y1" s="254"/>
      <c r="Z1" s="254"/>
      <c r="AG1" s="254"/>
      <c r="AH1" s="254"/>
    </row>
    <row r="2" spans="1:44" ht="21" hidden="1" customHeight="1">
      <c r="A2" s="1244"/>
      <c r="B2" s="1244"/>
      <c r="C2" s="1244"/>
      <c r="D2" s="1244"/>
      <c r="E2" s="2235">
        <v>1</v>
      </c>
      <c r="F2" s="1244"/>
      <c r="G2" s="1244"/>
      <c r="H2" s="1244"/>
      <c r="I2" s="1244"/>
      <c r="J2" s="1244"/>
      <c r="K2" s="1244"/>
      <c r="L2" s="1245"/>
      <c r="M2" s="1246"/>
      <c r="N2" s="1246"/>
      <c r="O2" s="1246"/>
      <c r="P2" s="285"/>
      <c r="Q2" s="284"/>
      <c r="R2" s="279"/>
      <c r="S2" s="1221" t="e">
        <f>INDEX(PT_DIFFERENTIATION_NUM_NTAR,MATCH(A2,PT_DIFFERENTIATION_NTAR_ID,0))</f>
        <v>#N/A</v>
      </c>
      <c r="T2" s="216" t="s">
        <v>124</v>
      </c>
      <c r="U2" s="218"/>
      <c r="V2" s="2229"/>
      <c r="W2" s="2230"/>
      <c r="X2" s="2230"/>
      <c r="Y2" s="2230"/>
      <c r="Z2" s="2230"/>
      <c r="AA2" s="2230"/>
      <c r="AB2" s="2230"/>
      <c r="AC2" s="2231"/>
      <c r="AD2" s="2229" t="e">
        <f>INDEX(PT_DIFFERENTIATION_NTAR,MATCH(A2,PT_DIFFERENTIATION_NTAR_ID,0))</f>
        <v>#N/A</v>
      </c>
      <c r="AE2" s="2230"/>
      <c r="AF2" s="2230"/>
      <c r="AG2" s="2230"/>
      <c r="AH2" s="2230"/>
      <c r="AI2" s="2230"/>
      <c r="AJ2" s="2230"/>
      <c r="AK2" s="2230"/>
      <c r="AL2" s="2231"/>
      <c r="AM2" s="1140" t="s">
        <v>1460</v>
      </c>
      <c r="AO2" s="428"/>
      <c r="AP2" s="428" t="str">
        <f t="shared" ref="AP2:AP15" si="0">IF(T2="","",T2)</f>
        <v>Наименование тарифа</v>
      </c>
      <c r="AQ2" s="428"/>
      <c r="AR2" s="428"/>
    </row>
    <row r="3" spans="1:44" ht="21" hidden="1" customHeight="1">
      <c r="A3" s="1244"/>
      <c r="B3" s="1244"/>
      <c r="C3" s="1244"/>
      <c r="D3" s="1244"/>
      <c r="E3" s="2236"/>
      <c r="F3" s="2235">
        <v>1</v>
      </c>
      <c r="G3" s="1244"/>
      <c r="H3" s="1244"/>
      <c r="I3" s="1244"/>
      <c r="J3" s="1244"/>
      <c r="K3" s="1244"/>
      <c r="L3" s="1245"/>
      <c r="M3" s="1246"/>
      <c r="N3" s="1246"/>
      <c r="O3" s="1246"/>
      <c r="P3" s="1217"/>
      <c r="Q3" s="276"/>
      <c r="R3" s="277"/>
      <c r="S3" s="1221" t="e">
        <f>INDEX(PT_DIFFERENTIATION_NUM_TER,MATCH(B3,PT_DIFFERENTIATION_TER_ID,0))</f>
        <v>#N/A</v>
      </c>
      <c r="T3" s="228" t="s">
        <v>1461</v>
      </c>
      <c r="U3" s="218"/>
      <c r="V3" s="2229"/>
      <c r="W3" s="2230"/>
      <c r="X3" s="2230"/>
      <c r="Y3" s="2230"/>
      <c r="Z3" s="2230"/>
      <c r="AA3" s="2230"/>
      <c r="AB3" s="2230"/>
      <c r="AC3" s="2231"/>
      <c r="AD3" s="2229" t="e">
        <f>INDEX(PT_DIFFERENTIATION_TER,MATCH(B3,PT_DIFFERENTIATION_TER_ID,0))</f>
        <v>#N/A</v>
      </c>
      <c r="AE3" s="2230"/>
      <c r="AF3" s="2230"/>
      <c r="AG3" s="2230"/>
      <c r="AH3" s="2230"/>
      <c r="AI3" s="2230"/>
      <c r="AJ3" s="2230"/>
      <c r="AK3" s="2230"/>
      <c r="AL3" s="2231"/>
      <c r="AM3" s="1140" t="s">
        <v>1462</v>
      </c>
      <c r="AO3" s="428"/>
      <c r="AP3" s="428" t="str">
        <f t="shared" si="0"/>
        <v>Территория действия тарифа</v>
      </c>
      <c r="AQ3" s="428"/>
      <c r="AR3" s="428"/>
    </row>
    <row r="4" spans="1:44" ht="23.25" hidden="1" customHeight="1">
      <c r="A4" s="1244"/>
      <c r="B4" s="1244"/>
      <c r="C4" s="1244"/>
      <c r="D4" s="1244"/>
      <c r="E4" s="2236"/>
      <c r="F4" s="2236"/>
      <c r="G4" s="2235">
        <v>1</v>
      </c>
      <c r="H4" s="1244"/>
      <c r="I4" s="1244"/>
      <c r="J4" s="1244"/>
      <c r="K4" s="1244"/>
      <c r="L4" s="1245"/>
      <c r="M4" s="1246"/>
      <c r="N4" s="1246"/>
      <c r="O4" s="1246"/>
      <c r="P4" s="278"/>
      <c r="Q4" s="276"/>
      <c r="R4" s="277"/>
      <c r="S4" s="1221" t="e">
        <f>INDEX(PT_DIFFERENTIATION_NUM_CS,MATCH(C4,PT_DIFFERENTIATION_CS_ID,0))</f>
        <v>#N/A</v>
      </c>
      <c r="T4" s="229" t="s">
        <v>1463</v>
      </c>
      <c r="U4" s="218"/>
      <c r="V4" s="2229"/>
      <c r="W4" s="2230"/>
      <c r="X4" s="2230"/>
      <c r="Y4" s="2230"/>
      <c r="Z4" s="2230"/>
      <c r="AA4" s="2230"/>
      <c r="AB4" s="2230"/>
      <c r="AC4" s="2231"/>
      <c r="AD4" s="2229" t="e">
        <f>INDEX(PT_DIFFERENTIATION_CS,MATCH(C4,PT_DIFFERENTIATION_CS_ID,0))</f>
        <v>#N/A</v>
      </c>
      <c r="AE4" s="2230"/>
      <c r="AF4" s="2230"/>
      <c r="AG4" s="2230"/>
      <c r="AH4" s="2230"/>
      <c r="AI4" s="2230"/>
      <c r="AJ4" s="2230"/>
      <c r="AK4" s="2230"/>
      <c r="AL4" s="2231"/>
      <c r="AM4" s="1140" t="s">
        <v>1464</v>
      </c>
      <c r="AO4" s="428"/>
      <c r="AP4" s="428" t="str">
        <f t="shared" si="0"/>
        <v xml:space="preserve">Наименование системы теплоснабжения </v>
      </c>
      <c r="AQ4" s="428"/>
      <c r="AR4" s="428"/>
    </row>
    <row r="5" spans="1:44" ht="21" hidden="1" customHeight="1">
      <c r="A5" s="1244"/>
      <c r="B5" s="1244"/>
      <c r="C5" s="1244"/>
      <c r="D5" s="1244"/>
      <c r="E5" s="2236"/>
      <c r="F5" s="2236"/>
      <c r="G5" s="2236"/>
      <c r="H5" s="2235">
        <v>1</v>
      </c>
      <c r="I5" s="1244"/>
      <c r="J5" s="1244"/>
      <c r="K5" s="1244"/>
      <c r="L5" s="1245"/>
      <c r="M5" s="1246"/>
      <c r="N5" s="1246"/>
      <c r="O5" s="1246"/>
      <c r="P5" s="278"/>
      <c r="Q5" s="276"/>
      <c r="R5" s="277"/>
      <c r="S5" s="1221" t="e">
        <f>INDEX(PT_DIFFERENTIATION_NUM_IST_TE,MATCH(D5,PT_DIFFERENTIATION_IST_TE_ID,0))</f>
        <v>#N/A</v>
      </c>
      <c r="T5" s="230" t="s">
        <v>1465</v>
      </c>
      <c r="U5" s="218"/>
      <c r="V5" s="2229"/>
      <c r="W5" s="2230"/>
      <c r="X5" s="2230"/>
      <c r="Y5" s="2230"/>
      <c r="Z5" s="2230"/>
      <c r="AA5" s="2230"/>
      <c r="AB5" s="2230"/>
      <c r="AC5" s="2231"/>
      <c r="AD5" s="2229" t="e">
        <f>INDEX(PT_DIFFERENTIATION_IST_TE,MATCH(D5,PT_DIFFERENTIATION_IST_TE_ID,0))</f>
        <v>#N/A</v>
      </c>
      <c r="AE5" s="2230"/>
      <c r="AF5" s="2230"/>
      <c r="AG5" s="2230"/>
      <c r="AH5" s="2230"/>
      <c r="AI5" s="2230"/>
      <c r="AJ5" s="2230"/>
      <c r="AK5" s="2230"/>
      <c r="AL5" s="2231"/>
      <c r="AM5" s="1140" t="s">
        <v>1466</v>
      </c>
      <c r="AO5" s="428"/>
      <c r="AP5" s="428" t="str">
        <f t="shared" si="0"/>
        <v xml:space="preserve">Источник тепловой энергии  </v>
      </c>
      <c r="AQ5" s="428"/>
      <c r="AR5" s="428"/>
    </row>
    <row r="6" spans="1:44" ht="47.25" hidden="1" customHeight="1">
      <c r="A6" s="1244"/>
      <c r="B6" s="1244"/>
      <c r="C6" s="1244"/>
      <c r="D6" s="1244"/>
      <c r="E6" s="2236"/>
      <c r="F6" s="2236"/>
      <c r="G6" s="2236"/>
      <c r="H6" s="2236"/>
      <c r="I6" s="2237" t="e">
        <f>S5&amp;".1"</f>
        <v>#N/A</v>
      </c>
      <c r="J6" s="1244"/>
      <c r="K6" s="1244"/>
      <c r="L6" s="1245" t="s">
        <v>1467</v>
      </c>
      <c r="M6" s="464"/>
      <c r="P6" s="2157">
        <v>1</v>
      </c>
      <c r="Q6" s="1216"/>
      <c r="R6" s="280"/>
      <c r="S6" s="1221" t="e">
        <f>$I6</f>
        <v>#N/A</v>
      </c>
      <c r="T6" s="203" t="s">
        <v>1468</v>
      </c>
      <c r="U6" s="218"/>
      <c r="V6" s="2224"/>
      <c r="W6" s="2225"/>
      <c r="X6" s="2225"/>
      <c r="Y6" s="2225"/>
      <c r="Z6" s="2225"/>
      <c r="AA6" s="2225"/>
      <c r="AB6" s="2225"/>
      <c r="AC6" s="2226"/>
      <c r="AD6" s="2224"/>
      <c r="AE6" s="2225"/>
      <c r="AF6" s="2225"/>
      <c r="AG6" s="2225"/>
      <c r="AH6" s="2225"/>
      <c r="AI6" s="2225"/>
      <c r="AJ6" s="2225"/>
      <c r="AK6" s="2225"/>
      <c r="AL6" s="2226"/>
      <c r="AM6" s="1140" t="s">
        <v>1469</v>
      </c>
      <c r="AO6" s="428"/>
      <c r="AP6" s="428" t="str">
        <f t="shared" si="0"/>
        <v>Схема подключения теплопотребляющей установки к коллектору источника тепловой энергии</v>
      </c>
      <c r="AQ6" s="428"/>
      <c r="AR6" s="428"/>
    </row>
    <row r="7" spans="1:44" ht="21" hidden="1" customHeight="1">
      <c r="A7" s="1244"/>
      <c r="B7" s="1244"/>
      <c r="C7" s="1244"/>
      <c r="D7" s="1244"/>
      <c r="E7" s="2236"/>
      <c r="F7" s="2236"/>
      <c r="G7" s="2236"/>
      <c r="H7" s="2236"/>
      <c r="I7" s="2238"/>
      <c r="J7" s="2237" t="e">
        <f>I6&amp;".1"</f>
        <v>#N/A</v>
      </c>
      <c r="K7" s="1244"/>
      <c r="L7" s="1245" t="s">
        <v>1470</v>
      </c>
      <c r="M7" s="464"/>
      <c r="N7" s="1247"/>
      <c r="P7" s="2157"/>
      <c r="Q7" s="2157">
        <v>1</v>
      </c>
      <c r="R7" s="281"/>
      <c r="S7" s="1221" t="e">
        <f>$J7</f>
        <v>#N/A</v>
      </c>
      <c r="T7" s="204" t="s">
        <v>1471</v>
      </c>
      <c r="U7" s="218"/>
      <c r="V7" s="2224"/>
      <c r="W7" s="2225"/>
      <c r="X7" s="2225"/>
      <c r="Y7" s="2225"/>
      <c r="Z7" s="2225"/>
      <c r="AA7" s="2225"/>
      <c r="AB7" s="2225"/>
      <c r="AC7" s="2226"/>
      <c r="AD7" s="2224"/>
      <c r="AE7" s="2225"/>
      <c r="AF7" s="2225"/>
      <c r="AG7" s="2225"/>
      <c r="AH7" s="2225"/>
      <c r="AI7" s="2225"/>
      <c r="AJ7" s="2225"/>
      <c r="AK7" s="2225"/>
      <c r="AL7" s="2226"/>
      <c r="AM7" s="1140" t="s">
        <v>1472</v>
      </c>
      <c r="AO7" s="428"/>
      <c r="AP7" s="428" t="str">
        <f t="shared" si="0"/>
        <v>Группа потребителей</v>
      </c>
      <c r="AQ7" s="428"/>
      <c r="AR7" s="428"/>
    </row>
    <row r="8" spans="1:44" ht="21" hidden="1" customHeight="1">
      <c r="A8" s="1244"/>
      <c r="B8" s="1244"/>
      <c r="C8" s="1244"/>
      <c r="D8" s="1244"/>
      <c r="E8" s="2236"/>
      <c r="F8" s="2236"/>
      <c r="G8" s="2236"/>
      <c r="H8" s="2236"/>
      <c r="I8" s="2238"/>
      <c r="J8" s="2238"/>
      <c r="K8" s="2237" t="e">
        <f>J7&amp;".1"</f>
        <v>#N/A</v>
      </c>
      <c r="L8" s="1245" t="s">
        <v>1473</v>
      </c>
      <c r="M8" s="464"/>
      <c r="N8" s="1247"/>
      <c r="O8" s="1247"/>
      <c r="P8" s="2157"/>
      <c r="Q8" s="2157"/>
      <c r="R8" s="281">
        <v>1</v>
      </c>
      <c r="S8" s="1221" t="e">
        <f>$K8</f>
        <v>#N/A</v>
      </c>
      <c r="T8" s="1232"/>
      <c r="U8" s="218"/>
      <c r="V8" s="1667"/>
      <c r="W8" s="1668"/>
      <c r="X8" s="1667"/>
      <c r="Y8" s="1669"/>
      <c r="Z8" s="2239"/>
      <c r="AA8" s="2031" t="s">
        <v>66</v>
      </c>
      <c r="AB8" s="2239"/>
      <c r="AC8" s="2031" t="s">
        <v>66</v>
      </c>
      <c r="AD8" s="1667"/>
      <c r="AE8" s="1668"/>
      <c r="AF8" s="1667"/>
      <c r="AG8" s="1669"/>
      <c r="AH8" s="2239"/>
      <c r="AI8" s="2031" t="s">
        <v>66</v>
      </c>
      <c r="AJ8" s="2239"/>
      <c r="AK8" s="2031" t="s">
        <v>66</v>
      </c>
      <c r="AL8" s="1668"/>
      <c r="AM8" s="2257" t="s">
        <v>1474</v>
      </c>
      <c r="AN8" s="439" t="e">
        <f ca="1">STRCHECKDATE(V9:AL9)</f>
        <v>#NAME?</v>
      </c>
      <c r="AO8" s="428"/>
      <c r="AP8" s="428" t="str">
        <f t="shared" si="0"/>
        <v/>
      </c>
      <c r="AQ8" s="428"/>
      <c r="AR8" s="428"/>
    </row>
    <row r="9" spans="1:44" ht="0.75" hidden="1" customHeight="1">
      <c r="A9" s="1244"/>
      <c r="B9" s="1244"/>
      <c r="C9" s="1244"/>
      <c r="D9" s="1244"/>
      <c r="E9" s="2236"/>
      <c r="F9" s="2236"/>
      <c r="G9" s="2236"/>
      <c r="H9" s="2236"/>
      <c r="I9" s="2238"/>
      <c r="J9" s="2238"/>
      <c r="K9" s="2237"/>
      <c r="L9" s="1245"/>
      <c r="M9" s="464"/>
      <c r="N9" s="1247"/>
      <c r="O9" s="1247"/>
      <c r="P9" s="2157"/>
      <c r="Q9" s="2157"/>
      <c r="R9" s="281"/>
      <c r="S9" s="1227"/>
      <c r="T9" s="218"/>
      <c r="U9" s="218"/>
      <c r="V9" s="1668"/>
      <c r="W9" s="1668"/>
      <c r="X9" s="1668"/>
      <c r="Y9" s="1670" t="str">
        <f>Z8&amp;"-"&amp;AB8</f>
        <v>-</v>
      </c>
      <c r="Z9" s="2240"/>
      <c r="AA9" s="2031"/>
      <c r="AB9" s="2240"/>
      <c r="AC9" s="2031"/>
      <c r="AD9" s="1668"/>
      <c r="AE9" s="1668"/>
      <c r="AF9" s="1668"/>
      <c r="AG9" s="1670" t="str">
        <f>AH8&amp;"-"&amp;AJ8</f>
        <v>-</v>
      </c>
      <c r="AH9" s="2240"/>
      <c r="AI9" s="2031"/>
      <c r="AJ9" s="2240"/>
      <c r="AK9" s="2031"/>
      <c r="AL9" s="1668"/>
      <c r="AM9" s="2258"/>
      <c r="AO9" s="428"/>
      <c r="AP9" s="428" t="str">
        <f t="shared" si="0"/>
        <v/>
      </c>
      <c r="AQ9" s="428"/>
      <c r="AR9" s="428"/>
    </row>
    <row r="10" spans="1:44" ht="15" hidden="1" customHeight="1">
      <c r="A10" s="1244"/>
      <c r="B10" s="1244"/>
      <c r="C10" s="1244"/>
      <c r="D10" s="1244"/>
      <c r="E10" s="2236"/>
      <c r="F10" s="2236"/>
      <c r="G10" s="2236"/>
      <c r="H10" s="2236"/>
      <c r="I10" s="2238"/>
      <c r="J10" s="2237"/>
      <c r="K10" s="1244"/>
      <c r="L10" s="1245"/>
      <c r="M10" s="464"/>
      <c r="N10" s="1247"/>
      <c r="P10" s="2157"/>
      <c r="Q10" s="2157"/>
      <c r="R10" s="280"/>
      <c r="S10" s="1161"/>
      <c r="T10" s="206" t="s">
        <v>1475</v>
      </c>
      <c r="U10" s="294"/>
      <c r="V10" s="294"/>
      <c r="W10" s="294"/>
      <c r="X10" s="294"/>
      <c r="Y10" s="294"/>
      <c r="Z10" s="294"/>
      <c r="AA10" s="294"/>
      <c r="AB10" s="294"/>
      <c r="AC10" s="294"/>
      <c r="AD10" s="294"/>
      <c r="AE10" s="294"/>
      <c r="AF10" s="294"/>
      <c r="AG10" s="294"/>
      <c r="AH10" s="294"/>
      <c r="AI10" s="294"/>
      <c r="AJ10" s="294"/>
      <c r="AK10" s="294"/>
      <c r="AL10" s="251"/>
      <c r="AM10" s="2259"/>
      <c r="AO10" s="428"/>
      <c r="AP10" s="428" t="str">
        <f t="shared" si="0"/>
        <v>Добавить вид теплоносителя (параметры теплоносителя)</v>
      </c>
      <c r="AQ10" s="428"/>
      <c r="AR10" s="428"/>
    </row>
    <row r="11" spans="1:44" ht="15" hidden="1" customHeight="1">
      <c r="A11" s="1244"/>
      <c r="B11" s="1244"/>
      <c r="C11" s="1244"/>
      <c r="D11" s="1244"/>
      <c r="E11" s="2236"/>
      <c r="F11" s="2236"/>
      <c r="G11" s="2236"/>
      <c r="H11" s="2236"/>
      <c r="I11" s="2237"/>
      <c r="J11" s="1244"/>
      <c r="K11" s="1244"/>
      <c r="L11" s="1245"/>
      <c r="M11" s="464"/>
      <c r="P11" s="2157"/>
      <c r="Q11" s="1216"/>
      <c r="R11" s="280"/>
      <c r="S11" s="1161"/>
      <c r="T11" s="205" t="s">
        <v>1476</v>
      </c>
      <c r="U11" s="294"/>
      <c r="V11" s="294"/>
      <c r="W11" s="294"/>
      <c r="X11" s="294"/>
      <c r="Y11" s="294"/>
      <c r="Z11" s="294"/>
      <c r="AA11" s="294"/>
      <c r="AB11" s="294"/>
      <c r="AC11" s="293"/>
      <c r="AD11" s="294"/>
      <c r="AE11" s="294"/>
      <c r="AF11" s="294"/>
      <c r="AG11" s="294"/>
      <c r="AH11" s="294"/>
      <c r="AI11" s="294"/>
      <c r="AJ11" s="294"/>
      <c r="AK11" s="293"/>
      <c r="AL11" s="294"/>
      <c r="AM11" s="221"/>
      <c r="AO11" s="428"/>
      <c r="AP11" s="428" t="str">
        <f t="shared" si="0"/>
        <v>Добавить группу потребителей</v>
      </c>
      <c r="AQ11" s="428"/>
      <c r="AR11" s="428"/>
    </row>
    <row r="12" spans="1:44" ht="14.25" hidden="1" customHeight="1">
      <c r="A12" s="1244"/>
      <c r="B12" s="1244"/>
      <c r="C12" s="1244"/>
      <c r="D12" s="1244"/>
      <c r="E12" s="2236"/>
      <c r="F12" s="2236"/>
      <c r="G12" s="2236"/>
      <c r="H12" s="2235"/>
      <c r="I12" s="1244"/>
      <c r="J12" s="1244"/>
      <c r="K12" s="1244"/>
      <c r="L12" s="1245"/>
      <c r="M12" s="1246"/>
      <c r="N12" s="1246"/>
      <c r="O12" s="464"/>
      <c r="P12" s="284"/>
      <c r="Q12" s="303"/>
      <c r="R12" s="279"/>
      <c r="S12" s="1161"/>
      <c r="T12" s="291" t="s">
        <v>1477</v>
      </c>
      <c r="U12" s="294"/>
      <c r="V12" s="294"/>
      <c r="W12" s="294"/>
      <c r="X12" s="294"/>
      <c r="Y12" s="294"/>
      <c r="Z12" s="294"/>
      <c r="AA12" s="294"/>
      <c r="AB12" s="294"/>
      <c r="AC12" s="293"/>
      <c r="AD12" s="294"/>
      <c r="AE12" s="294"/>
      <c r="AF12" s="294"/>
      <c r="AG12" s="294"/>
      <c r="AH12" s="294"/>
      <c r="AI12" s="294"/>
      <c r="AJ12" s="294"/>
      <c r="AK12" s="293"/>
      <c r="AL12" s="294"/>
      <c r="AM12" s="221"/>
      <c r="AO12" s="428"/>
      <c r="AP12" s="428" t="str">
        <f t="shared" si="0"/>
        <v>Добавить схему подключения</v>
      </c>
      <c r="AQ12" s="428"/>
      <c r="AR12" s="428"/>
    </row>
    <row r="13" spans="1:44" s="1772" customFormat="1" ht="0.75" hidden="1" customHeight="1">
      <c r="A13" s="1200"/>
      <c r="B13" s="1200"/>
      <c r="C13" s="1200"/>
      <c r="D13" s="1200"/>
      <c r="E13" s="2236"/>
      <c r="F13" s="2236"/>
      <c r="G13" s="2235"/>
      <c r="H13" s="1200"/>
      <c r="I13" s="1200"/>
      <c r="J13" s="1200"/>
      <c r="K13" s="1200"/>
      <c r="L13" s="1224"/>
      <c r="M13" s="1201"/>
      <c r="N13" s="1201"/>
      <c r="P13" s="1202"/>
      <c r="Q13" s="1203"/>
      <c r="R13" s="1202"/>
      <c r="S13" s="1204"/>
      <c r="T13" s="1205" t="s">
        <v>1436</v>
      </c>
      <c r="U13" s="1206"/>
      <c r="V13" s="1206"/>
      <c r="W13" s="1206"/>
      <c r="X13" s="1206"/>
      <c r="Y13" s="1206"/>
      <c r="Z13" s="1206"/>
      <c r="AA13" s="1206"/>
      <c r="AB13" s="1206"/>
      <c r="AC13" s="1206"/>
      <c r="AD13" s="1206"/>
      <c r="AE13" s="1206"/>
      <c r="AF13" s="1206"/>
      <c r="AG13" s="1206"/>
      <c r="AH13" s="1206"/>
      <c r="AI13" s="1206"/>
      <c r="AJ13" s="1206"/>
      <c r="AK13" s="1206"/>
      <c r="AL13" s="1206"/>
      <c r="AM13" s="1206"/>
      <c r="AO13" s="696"/>
      <c r="AP13" s="696" t="str">
        <f t="shared" si="0"/>
        <v>Добавить источник для дифференциации</v>
      </c>
      <c r="AQ13" s="696"/>
      <c r="AR13" s="696"/>
    </row>
    <row r="14" spans="1:44" s="1772" customFormat="1" ht="0.75" hidden="1" customHeight="1">
      <c r="A14" s="1200"/>
      <c r="B14" s="1200"/>
      <c r="C14" s="1200"/>
      <c r="D14" s="1200"/>
      <c r="E14" s="2236"/>
      <c r="F14" s="2235"/>
      <c r="G14" s="1200"/>
      <c r="H14" s="1200"/>
      <c r="I14" s="1200"/>
      <c r="J14" s="1200"/>
      <c r="K14" s="1200"/>
      <c r="L14" s="1224"/>
      <c r="M14" s="1207"/>
      <c r="N14" s="1207"/>
      <c r="P14" s="1202"/>
      <c r="Q14" s="1203"/>
      <c r="R14" s="1202"/>
      <c r="S14" s="1208"/>
      <c r="T14" s="1209" t="s">
        <v>1437</v>
      </c>
      <c r="U14" s="1210"/>
      <c r="V14" s="1210"/>
      <c r="W14" s="1210"/>
      <c r="X14" s="1210"/>
      <c r="Y14" s="1210"/>
      <c r="Z14" s="1210"/>
      <c r="AA14" s="1210"/>
      <c r="AB14" s="1210"/>
      <c r="AC14" s="1210"/>
      <c r="AD14" s="1210"/>
      <c r="AE14" s="1210"/>
      <c r="AF14" s="1210"/>
      <c r="AG14" s="1210"/>
      <c r="AH14" s="1210"/>
      <c r="AI14" s="1210"/>
      <c r="AJ14" s="1210"/>
      <c r="AK14" s="1210"/>
      <c r="AL14" s="1210"/>
      <c r="AM14" s="1210"/>
      <c r="AO14" s="696"/>
      <c r="AP14" s="696" t="str">
        <f t="shared" si="0"/>
        <v>Добавить централизованную систему для дифференциации</v>
      </c>
      <c r="AQ14" s="696"/>
      <c r="AR14" s="696"/>
    </row>
    <row r="15" spans="1:44" s="1772" customFormat="1" ht="0.75" hidden="1" customHeight="1">
      <c r="A15" s="1200"/>
      <c r="B15" s="1200"/>
      <c r="C15" s="1200"/>
      <c r="D15" s="1200"/>
      <c r="E15" s="2235"/>
      <c r="F15" s="1200"/>
      <c r="G15" s="1200"/>
      <c r="H15" s="1200"/>
      <c r="I15" s="1200"/>
      <c r="J15" s="1200"/>
      <c r="K15" s="1200"/>
      <c r="L15" s="1224"/>
      <c r="M15" s="1207"/>
      <c r="N15" s="1207"/>
      <c r="P15" s="1202"/>
      <c r="Q15" s="1203"/>
      <c r="R15" s="1202"/>
      <c r="S15" s="1208"/>
      <c r="T15" s="1211" t="s">
        <v>1438</v>
      </c>
      <c r="U15" s="1210"/>
      <c r="V15" s="1210"/>
      <c r="W15" s="1210"/>
      <c r="X15" s="1210"/>
      <c r="Y15" s="1210"/>
      <c r="Z15" s="1210"/>
      <c r="AA15" s="1210"/>
      <c r="AB15" s="1210"/>
      <c r="AC15" s="1210"/>
      <c r="AD15" s="1210"/>
      <c r="AE15" s="1210"/>
      <c r="AF15" s="1210"/>
      <c r="AG15" s="1210"/>
      <c r="AH15" s="1210"/>
      <c r="AI15" s="1210"/>
      <c r="AJ15" s="1210"/>
      <c r="AK15" s="1210"/>
      <c r="AL15" s="1210"/>
      <c r="AM15" s="1210"/>
      <c r="AO15" s="696"/>
      <c r="AP15" s="696" t="str">
        <f t="shared" si="0"/>
        <v>Добавить территорию для дифференциации</v>
      </c>
      <c r="AQ15" s="696"/>
      <c r="AR15" s="696"/>
    </row>
    <row r="16" spans="1:44" ht="14.25" hidden="1" customHeight="1">
      <c r="AC16" s="254"/>
      <c r="AK16" s="254"/>
    </row>
    <row r="17" spans="1:44" ht="14.25" hidden="1" customHeight="1">
      <c r="AD17" s="1671"/>
      <c r="AE17" s="1671"/>
      <c r="AF17" s="1671"/>
      <c r="AG17" s="1672"/>
      <c r="AH17" s="2233"/>
      <c r="AI17" s="2232" t="s">
        <v>66</v>
      </c>
      <c r="AJ17" s="2233"/>
      <c r="AK17" s="2232" t="s">
        <v>66</v>
      </c>
    </row>
    <row r="18" spans="1:44" ht="14.25" hidden="1" customHeight="1">
      <c r="AD18" s="1671"/>
      <c r="AE18" s="1671"/>
      <c r="AF18" s="1671"/>
      <c r="AG18" s="1670" t="str">
        <f>AH17&amp;"-"&amp;AJ17</f>
        <v>-</v>
      </c>
      <c r="AH18" s="2232"/>
      <c r="AI18" s="2232"/>
      <c r="AJ18" s="2232"/>
      <c r="AK18" s="2232"/>
    </row>
    <row r="19" spans="1:44" ht="14.25" hidden="1" customHeight="1">
      <c r="AK19" s="254"/>
    </row>
    <row r="20" spans="1:44" s="1759" customFormat="1" ht="22.5" hidden="1" customHeight="1">
      <c r="L20" s="1214"/>
      <c r="M20" s="1243"/>
      <c r="N20" s="1243"/>
      <c r="O20" s="1248" t="s">
        <v>1478</v>
      </c>
      <c r="P20" s="1243"/>
      <c r="Q20" s="1252"/>
      <c r="R20" s="1252"/>
      <c r="S20" s="644"/>
      <c r="Z20" s="1248"/>
      <c r="AB20" s="1248"/>
      <c r="AC20" s="1247"/>
      <c r="AH20" s="1248"/>
      <c r="AJ20" s="1248"/>
      <c r="AK20" s="1247"/>
      <c r="AN20" s="439"/>
      <c r="AO20" s="439"/>
      <c r="AP20" s="439"/>
      <c r="AQ20" s="439"/>
      <c r="AR20" s="439"/>
    </row>
    <row r="21" spans="1:44" s="1759" customFormat="1" ht="14.25" hidden="1" customHeight="1">
      <c r="L21" s="1214"/>
      <c r="M21" s="1243"/>
      <c r="N21" s="1243"/>
      <c r="O21" s="1243"/>
      <c r="P21" s="1243"/>
      <c r="Q21" s="1252"/>
      <c r="R21" s="1252"/>
      <c r="S21" s="644"/>
      <c r="AC21" s="1247"/>
      <c r="AK21" s="1247"/>
      <c r="AN21" s="439"/>
      <c r="AO21" s="439"/>
      <c r="AP21" s="439"/>
      <c r="AQ21" s="439"/>
      <c r="AR21" s="439"/>
    </row>
    <row r="22" spans="1:44" s="1759" customFormat="1" ht="14.25" hidden="1" customHeight="1">
      <c r="L22" s="1214"/>
      <c r="M22" s="1243"/>
      <c r="N22" s="1243"/>
      <c r="O22" s="1245" t="s">
        <v>1479</v>
      </c>
      <c r="P22" s="1243"/>
      <c r="Q22" s="1252"/>
      <c r="R22" s="1252"/>
      <c r="S22" s="644"/>
      <c r="T22" s="1036" t="s">
        <v>1480</v>
      </c>
      <c r="AA22" s="111" t="s">
        <v>1481</v>
      </c>
      <c r="AC22" s="111" t="s">
        <v>1482</v>
      </c>
      <c r="AD22" s="1036" t="s">
        <v>1480</v>
      </c>
      <c r="AI22" s="111" t="s">
        <v>1483</v>
      </c>
      <c r="AK22" s="111" t="s">
        <v>1482</v>
      </c>
      <c r="AN22" s="439"/>
      <c r="AO22" s="439"/>
      <c r="AP22" s="439"/>
      <c r="AQ22" s="439"/>
      <c r="AR22" s="439"/>
    </row>
    <row r="23" spans="1:44" ht="14.25" hidden="1" customHeight="1">
      <c r="O23" s="1245"/>
    </row>
    <row r="24" spans="1:44" ht="14.25" hidden="1" customHeight="1">
      <c r="O24" s="1245"/>
    </row>
    <row r="25" spans="1:44" ht="14.25" customHeight="1">
      <c r="Q25" s="304"/>
      <c r="R25" s="304"/>
      <c r="S25" s="1158"/>
      <c r="T25" s="289"/>
      <c r="U25" s="289"/>
      <c r="V25" s="437"/>
      <c r="W25" s="437"/>
      <c r="X25" s="437"/>
      <c r="Y25" s="437"/>
      <c r="Z25" s="437"/>
      <c r="AA25" s="437"/>
      <c r="AB25" s="437"/>
      <c r="AC25" s="437"/>
      <c r="AD25" s="437"/>
      <c r="AE25" s="437"/>
      <c r="AF25" s="437"/>
      <c r="AG25" s="437"/>
      <c r="AH25" s="437"/>
      <c r="AI25" s="437"/>
      <c r="AJ25" s="437"/>
      <c r="AK25" s="437"/>
    </row>
    <row r="26" spans="1:44" ht="64.5" customHeight="1">
      <c r="Q26" s="304"/>
      <c r="R26" s="304"/>
      <c r="S26" s="2079" t="str">
        <f>IF(TEMPLATE_GROUP="P",PT_P_FORM_HEAT_4_NAME_FORM,PT_R_FORM_HEAT_21_NAME_FORM)</f>
        <v>Форма 21. Информация о расчетной величине тарифов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тарифов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v>
      </c>
      <c r="T26" s="2079"/>
      <c r="U26" s="2079"/>
      <c r="V26" s="2079"/>
      <c r="W26" s="2079"/>
      <c r="X26" s="2079"/>
      <c r="Y26" s="2079"/>
      <c r="Z26" s="2079"/>
      <c r="AA26" s="2079"/>
      <c r="AB26" s="2079"/>
      <c r="AC26" s="2079"/>
      <c r="AD26" s="2079"/>
      <c r="AE26" s="2079"/>
      <c r="AF26" s="2079"/>
      <c r="AG26" s="2079"/>
      <c r="AH26" s="2079"/>
      <c r="AI26" s="2079"/>
      <c r="AJ26" s="2079"/>
      <c r="AK26" s="1116"/>
    </row>
    <row r="27" spans="1:44" ht="14.25" customHeight="1">
      <c r="Q27" s="304"/>
      <c r="R27" s="304"/>
      <c r="S27" s="2102" t="str">
        <f>IF(org=0,"Не определено",org)</f>
        <v>ООО "Автозаводская ТЭЦ"</v>
      </c>
      <c r="T27" s="2102"/>
      <c r="U27" s="2102"/>
      <c r="V27" s="2102"/>
      <c r="W27" s="2102"/>
      <c r="X27" s="2102"/>
      <c r="Y27" s="2102"/>
      <c r="Z27" s="2102"/>
      <c r="AA27" s="2102"/>
      <c r="AB27" s="2102"/>
      <c r="AC27" s="2102"/>
      <c r="AD27" s="2102"/>
      <c r="AE27" s="2102"/>
      <c r="AF27" s="2102"/>
      <c r="AG27" s="2102"/>
      <c r="AH27" s="2102"/>
      <c r="AI27" s="2102"/>
      <c r="AJ27" s="2102"/>
      <c r="AK27" s="1116"/>
    </row>
    <row r="28" spans="1:44" ht="14.25" hidden="1" customHeight="1">
      <c r="Q28" s="304"/>
      <c r="R28" s="304"/>
      <c r="S28" s="1158"/>
      <c r="T28" s="289"/>
      <c r="U28" s="289"/>
      <c r="V28" s="248"/>
      <c r="W28" s="248"/>
      <c r="X28" s="248"/>
      <c r="Y28" s="248"/>
      <c r="Z28" s="248"/>
      <c r="AA28" s="248"/>
      <c r="AB28" s="248"/>
      <c r="AC28" s="248"/>
      <c r="AD28" s="248"/>
      <c r="AE28" s="248"/>
      <c r="AF28" s="248"/>
      <c r="AG28" s="248"/>
      <c r="AH28" s="248"/>
      <c r="AI28" s="248"/>
      <c r="AJ28" s="248"/>
      <c r="AK28" s="248"/>
      <c r="AL28" s="437"/>
    </row>
    <row r="29" spans="1:44" s="1950" customFormat="1" ht="25.5" hidden="1" customHeight="1">
      <c r="A29" s="1249"/>
      <c r="B29" s="1249"/>
      <c r="C29" s="1249"/>
      <c r="D29" s="1249"/>
      <c r="E29" s="1249"/>
      <c r="F29" s="1249"/>
      <c r="G29" s="1249"/>
      <c r="H29" s="1249"/>
      <c r="I29" s="1249"/>
      <c r="J29" s="1249"/>
      <c r="K29" s="1249"/>
      <c r="L29" s="1250"/>
      <c r="M29" s="1249"/>
      <c r="N29" s="1249"/>
      <c r="O29" s="1249"/>
      <c r="S29" s="2227" t="s">
        <v>38</v>
      </c>
      <c r="T29" s="2227"/>
      <c r="U29" s="1253"/>
      <c r="V29" s="2228" t="str">
        <f>IF(TITLE_NAME_OR_PR_CHANGE="",IF(TITLE_NAME_OR_PR="","",TITLE_NAME_OR_PR),TITLE_NAME_OR_PR_CHANGE)</f>
        <v/>
      </c>
      <c r="W29" s="2228"/>
      <c r="X29" s="2228"/>
      <c r="Y29" s="2228"/>
      <c r="Z29" s="2228"/>
      <c r="AA29" s="2228"/>
      <c r="AB29" s="2228"/>
      <c r="AC29" s="253"/>
      <c r="AD29" s="2228" t="str">
        <f>IF(TITLE_NAME_OR_PR_CHANGE="",IF(TITLE_NAME_OR_PR="","",TITLE_NAME_OR_PR),TITLE_NAME_OR_PR_CHANGE)</f>
        <v/>
      </c>
      <c r="AE29" s="2228"/>
      <c r="AF29" s="2228"/>
      <c r="AG29" s="2228"/>
      <c r="AH29" s="2228"/>
      <c r="AI29" s="2228"/>
      <c r="AJ29" s="2228"/>
      <c r="AK29" s="253"/>
      <c r="AL29" s="253"/>
      <c r="AM29" s="199"/>
      <c r="AN29" s="295"/>
      <c r="AO29" s="295"/>
      <c r="AP29" s="295"/>
      <c r="AQ29" s="295"/>
      <c r="AR29" s="295"/>
    </row>
    <row r="30" spans="1:44" s="1950" customFormat="1" ht="18.75" hidden="1" customHeight="1">
      <c r="A30" s="1249"/>
      <c r="B30" s="1249"/>
      <c r="C30" s="1249"/>
      <c r="D30" s="1249"/>
      <c r="E30" s="1249"/>
      <c r="F30" s="1249"/>
      <c r="G30" s="1249"/>
      <c r="H30" s="1249"/>
      <c r="I30" s="1249"/>
      <c r="J30" s="1249"/>
      <c r="K30" s="1249"/>
      <c r="L30" s="1250"/>
      <c r="M30" s="1249"/>
      <c r="N30" s="1249"/>
      <c r="O30" s="1249"/>
      <c r="S30" s="2227" t="s">
        <v>1484</v>
      </c>
      <c r="T30" s="2227"/>
      <c r="U30" s="1253"/>
      <c r="V30" s="2228" t="str">
        <f>IF(TITLE_DATE_CHANGE_PERIOD="",IF(TITLE_DATE_PR="","",TITLE_DATE_PR),TITLE_DATE_CHANGE_PERIOD)</f>
        <v/>
      </c>
      <c r="W30" s="2228"/>
      <c r="X30" s="2228"/>
      <c r="Y30" s="2228"/>
      <c r="Z30" s="2228"/>
      <c r="AA30" s="2228"/>
      <c r="AB30" s="2228"/>
      <c r="AC30" s="253"/>
      <c r="AD30" s="2228" t="str">
        <f>IF(TITLE_DATE_CHANGE_PERIOD="",IF(TITLE_DATE_PR="","",TITLE_DATE_PR),TITLE_DATE_CHANGE_PERIOD)</f>
        <v/>
      </c>
      <c r="AE30" s="2228"/>
      <c r="AF30" s="2228"/>
      <c r="AG30" s="2228"/>
      <c r="AH30" s="2228"/>
      <c r="AI30" s="2228"/>
      <c r="AJ30" s="2228"/>
      <c r="AK30" s="253"/>
      <c r="AL30" s="253"/>
      <c r="AM30" s="199"/>
      <c r="AN30" s="295"/>
      <c r="AO30" s="295"/>
      <c r="AP30" s="295"/>
      <c r="AQ30" s="295"/>
      <c r="AR30" s="295"/>
    </row>
    <row r="31" spans="1:44" s="1950" customFormat="1" ht="18.75" hidden="1" customHeight="1">
      <c r="A31" s="1249"/>
      <c r="B31" s="1249"/>
      <c r="C31" s="1249"/>
      <c r="D31" s="1249"/>
      <c r="E31" s="1249"/>
      <c r="F31" s="1249"/>
      <c r="G31" s="1249"/>
      <c r="H31" s="1249"/>
      <c r="I31" s="1249"/>
      <c r="J31" s="1249"/>
      <c r="K31" s="1249"/>
      <c r="L31" s="1250"/>
      <c r="M31" s="1249"/>
      <c r="N31" s="1249"/>
      <c r="O31" s="1249"/>
      <c r="S31" s="2227" t="s">
        <v>1485</v>
      </c>
      <c r="T31" s="2227"/>
      <c r="U31" s="1253"/>
      <c r="V31" s="2228" t="str">
        <f>IF(TITLE_NUMBER_PR_CHANGE="",IF(TITLE_NUMBER_PR="","",TITLE_NUMBER_PR),TITLE_NUMBER_PR_CHANGE)</f>
        <v/>
      </c>
      <c r="W31" s="2228"/>
      <c r="X31" s="2228"/>
      <c r="Y31" s="2228"/>
      <c r="Z31" s="2228"/>
      <c r="AA31" s="2228"/>
      <c r="AB31" s="2228"/>
      <c r="AC31" s="253"/>
      <c r="AD31" s="2228" t="str">
        <f>IF(TITLE_NUMBER_PR_CHANGE="",IF(TITLE_NUMBER_PR="","",TITLE_NUMBER_PR),TITLE_NUMBER_PR_CHANGE)</f>
        <v/>
      </c>
      <c r="AE31" s="2228"/>
      <c r="AF31" s="2228"/>
      <c r="AG31" s="2228"/>
      <c r="AH31" s="2228"/>
      <c r="AI31" s="2228"/>
      <c r="AJ31" s="2228"/>
      <c r="AK31" s="253"/>
      <c r="AL31" s="253"/>
      <c r="AM31" s="199"/>
      <c r="AN31" s="295"/>
      <c r="AO31" s="295"/>
      <c r="AP31" s="295"/>
      <c r="AQ31" s="295"/>
      <c r="AR31" s="295"/>
    </row>
    <row r="32" spans="1:44" s="1950" customFormat="1" ht="18.75" hidden="1" customHeight="1">
      <c r="A32" s="1249"/>
      <c r="B32" s="1249"/>
      <c r="C32" s="1249"/>
      <c r="D32" s="1249"/>
      <c r="E32" s="1249"/>
      <c r="F32" s="1249"/>
      <c r="G32" s="1249"/>
      <c r="H32" s="1249"/>
      <c r="I32" s="1249"/>
      <c r="J32" s="1249"/>
      <c r="K32" s="1249"/>
      <c r="L32" s="1250"/>
      <c r="M32" s="1249"/>
      <c r="N32" s="1249"/>
      <c r="O32" s="1249"/>
      <c r="S32" s="2227" t="s">
        <v>39</v>
      </c>
      <c r="T32" s="2227"/>
      <c r="U32" s="1253"/>
      <c r="V32" s="2228" t="str">
        <f>IF(TITLE_IST_PUB_CHANGE="",IF(TITLE_IST_PUB="","",TITLE_IST_PUB),TITLE_IST_PUB_CHANGE)</f>
        <v/>
      </c>
      <c r="W32" s="2228"/>
      <c r="X32" s="2228"/>
      <c r="Y32" s="2228"/>
      <c r="Z32" s="2228"/>
      <c r="AA32" s="2228"/>
      <c r="AB32" s="2228"/>
      <c r="AC32" s="253"/>
      <c r="AD32" s="2228" t="str">
        <f>IF(TITLE_IST_PUB_CHANGE="",IF(TITLE_IST_PUB="","",TITLE_IST_PUB),TITLE_IST_PUB_CHANGE)</f>
        <v/>
      </c>
      <c r="AE32" s="2228"/>
      <c r="AF32" s="2228"/>
      <c r="AG32" s="2228"/>
      <c r="AH32" s="2228"/>
      <c r="AI32" s="2228"/>
      <c r="AJ32" s="2228"/>
      <c r="AK32" s="253"/>
      <c r="AL32" s="253"/>
      <c r="AM32" s="199"/>
      <c r="AN32" s="295"/>
      <c r="AO32" s="295"/>
      <c r="AP32" s="295"/>
      <c r="AQ32" s="295"/>
      <c r="AR32" s="295"/>
    </row>
    <row r="33" spans="1:44" ht="14.25" hidden="1" customHeight="1">
      <c r="Q33" s="304"/>
      <c r="R33" s="304"/>
      <c r="S33" s="1158"/>
      <c r="T33" s="289"/>
      <c r="U33" s="289"/>
      <c r="V33" s="248"/>
      <c r="W33" s="248"/>
      <c r="X33" s="248"/>
      <c r="Y33" s="248"/>
      <c r="Z33" s="248"/>
      <c r="AA33" s="248"/>
      <c r="AB33" s="248"/>
      <c r="AC33" s="248"/>
      <c r="AD33" s="248"/>
      <c r="AE33" s="248"/>
      <c r="AF33" s="248"/>
      <c r="AG33" s="248"/>
      <c r="AH33" s="248"/>
      <c r="AI33" s="248"/>
      <c r="AJ33" s="248"/>
      <c r="AK33" s="248"/>
      <c r="AL33" s="437"/>
    </row>
    <row r="34" spans="1:44" s="1950" customFormat="1" ht="18.75" hidden="1" customHeight="1">
      <c r="A34" s="1249"/>
      <c r="B34" s="1249"/>
      <c r="C34" s="1249"/>
      <c r="D34" s="1249"/>
      <c r="E34" s="1249"/>
      <c r="F34" s="1249"/>
      <c r="G34" s="1249"/>
      <c r="H34" s="1249"/>
      <c r="I34" s="1249"/>
      <c r="J34" s="1249"/>
      <c r="K34" s="1249"/>
      <c r="L34" s="1250"/>
      <c r="M34" s="1249"/>
      <c r="N34" s="1249"/>
      <c r="O34" s="1249"/>
      <c r="S34" s="2227" t="s">
        <v>1486</v>
      </c>
      <c r="T34" s="2227"/>
      <c r="U34" s="1253"/>
      <c r="V34" s="2228" t="str">
        <f>IF(TITLE_DATE_CHANGE_PERIOD="",IF(TITLE_DATE_PR="","",TITLE_DATE_PR),TITLE_DATE_CHANGE_PERIOD)</f>
        <v/>
      </c>
      <c r="W34" s="2228"/>
      <c r="X34" s="2228"/>
      <c r="Y34" s="2228"/>
      <c r="Z34" s="2228"/>
      <c r="AA34" s="2228"/>
      <c r="AB34" s="2228"/>
      <c r="AC34" s="253"/>
      <c r="AD34" s="2228" t="str">
        <f>IF(TITLE_DATE_CHANGE_PERIOD="",IF(TITLE_DATE_PR="","",TITLE_DATE_PR),TITLE_DATE_CHANGE_PERIOD)</f>
        <v/>
      </c>
      <c r="AE34" s="2228"/>
      <c r="AF34" s="2228"/>
      <c r="AG34" s="2228"/>
      <c r="AH34" s="2228"/>
      <c r="AI34" s="2228"/>
      <c r="AJ34" s="2228"/>
      <c r="AK34" s="253"/>
      <c r="AL34" s="253"/>
      <c r="AM34" s="199"/>
      <c r="AN34" s="295"/>
      <c r="AO34" s="295"/>
      <c r="AP34" s="295"/>
      <c r="AQ34" s="295"/>
      <c r="AR34" s="295"/>
    </row>
    <row r="35" spans="1:44" s="1950" customFormat="1" ht="18.75" hidden="1" customHeight="1">
      <c r="A35" s="1249"/>
      <c r="B35" s="1249"/>
      <c r="C35" s="1249"/>
      <c r="D35" s="1249"/>
      <c r="E35" s="1249"/>
      <c r="F35" s="1249"/>
      <c r="G35" s="1249"/>
      <c r="H35" s="1249"/>
      <c r="I35" s="1249"/>
      <c r="J35" s="1249"/>
      <c r="K35" s="1249"/>
      <c r="L35" s="1250"/>
      <c r="M35" s="1249"/>
      <c r="N35" s="1249"/>
      <c r="O35" s="1249"/>
      <c r="S35" s="2227" t="s">
        <v>1487</v>
      </c>
      <c r="T35" s="2227"/>
      <c r="U35" s="1253"/>
      <c r="V35" s="2228" t="str">
        <f>IF(TITLE_NUMBER_PR_CHANGE="",IF(TITLE_NUMBER_PR="","",TITLE_NUMBER_PR),TITLE_NUMBER_PR_CHANGE)</f>
        <v/>
      </c>
      <c r="W35" s="2228"/>
      <c r="X35" s="2228"/>
      <c r="Y35" s="2228"/>
      <c r="Z35" s="2228"/>
      <c r="AA35" s="2228"/>
      <c r="AB35" s="2228"/>
      <c r="AC35" s="253"/>
      <c r="AD35" s="2228" t="str">
        <f>IF(TITLE_NUMBER_PR_CHANGE="",IF(TITLE_NUMBER_PR="","",TITLE_NUMBER_PR),TITLE_NUMBER_PR_CHANGE)</f>
        <v/>
      </c>
      <c r="AE35" s="2228"/>
      <c r="AF35" s="2228"/>
      <c r="AG35" s="2228"/>
      <c r="AH35" s="2228"/>
      <c r="AI35" s="2228"/>
      <c r="AJ35" s="2228"/>
      <c r="AK35" s="253"/>
      <c r="AL35" s="253"/>
      <c r="AM35" s="199"/>
      <c r="AN35" s="295"/>
      <c r="AO35" s="295"/>
      <c r="AP35" s="295"/>
      <c r="AQ35" s="295"/>
      <c r="AR35" s="295"/>
    </row>
    <row r="36" spans="1:44" s="1950" customFormat="1" ht="0" hidden="1" customHeight="1">
      <c r="A36" s="1249"/>
      <c r="B36" s="1249"/>
      <c r="C36" s="1249"/>
      <c r="D36" s="1249"/>
      <c r="E36" s="1249"/>
      <c r="F36" s="1249"/>
      <c r="G36" s="1249"/>
      <c r="H36" s="1249"/>
      <c r="I36" s="1249"/>
      <c r="J36" s="1249"/>
      <c r="K36" s="1249"/>
      <c r="L36" s="1250"/>
      <c r="M36" s="1249"/>
      <c r="N36" s="1249"/>
      <c r="O36" s="1249"/>
      <c r="S36" s="250"/>
      <c r="T36" s="250"/>
      <c r="U36" s="1225"/>
      <c r="V36" s="253"/>
      <c r="W36" s="253"/>
      <c r="X36" s="253"/>
      <c r="Y36" s="253"/>
      <c r="Z36" s="253"/>
      <c r="AA36" s="253"/>
      <c r="AB36" s="253"/>
      <c r="AC36" s="197" t="s">
        <v>1488</v>
      </c>
      <c r="AD36" s="253"/>
      <c r="AE36" s="253"/>
      <c r="AF36" s="253"/>
      <c r="AG36" s="253"/>
      <c r="AH36" s="253"/>
      <c r="AI36" s="253"/>
      <c r="AJ36" s="253"/>
      <c r="AK36" s="197" t="s">
        <v>1488</v>
      </c>
      <c r="AN36" s="295"/>
      <c r="AO36" s="295"/>
      <c r="AP36" s="295"/>
      <c r="AQ36" s="295"/>
      <c r="AR36" s="295"/>
    </row>
    <row r="37" spans="1:44" ht="14.25" customHeight="1">
      <c r="Q37" s="304"/>
      <c r="R37" s="304"/>
      <c r="S37" s="1158"/>
      <c r="T37" s="289"/>
      <c r="U37" s="1117"/>
      <c r="V37" s="2246"/>
      <c r="W37" s="2246"/>
      <c r="X37" s="2246"/>
      <c r="Y37" s="2246"/>
      <c r="Z37" s="2246"/>
      <c r="AA37" s="2246"/>
      <c r="AB37" s="2246"/>
      <c r="AC37" s="2246"/>
      <c r="AD37" s="2246"/>
      <c r="AE37" s="2246"/>
      <c r="AF37" s="2246"/>
      <c r="AG37" s="2246"/>
      <c r="AH37" s="2246"/>
      <c r="AI37" s="2246"/>
      <c r="AJ37" s="2246"/>
      <c r="AK37" s="2246"/>
    </row>
    <row r="38" spans="1:44" ht="14.25" customHeight="1">
      <c r="Q38" s="304"/>
      <c r="R38" s="304"/>
      <c r="S38" s="2021" t="s">
        <v>292</v>
      </c>
      <c r="T38" s="2021"/>
      <c r="U38" s="2021"/>
      <c r="V38" s="2021"/>
      <c r="W38" s="2021"/>
      <c r="X38" s="2021"/>
      <c r="Y38" s="2021"/>
      <c r="Z38" s="2021"/>
      <c r="AA38" s="2021"/>
      <c r="AB38" s="2021"/>
      <c r="AC38" s="2021"/>
      <c r="AD38" s="2021"/>
      <c r="AE38" s="2021"/>
      <c r="AF38" s="2021"/>
      <c r="AG38" s="2021"/>
      <c r="AH38" s="2021"/>
      <c r="AI38" s="2021"/>
      <c r="AJ38" s="2021"/>
      <c r="AK38" s="2021"/>
      <c r="AL38" s="2021"/>
      <c r="AM38" s="2021" t="s">
        <v>293</v>
      </c>
    </row>
    <row r="39" spans="1:44" ht="14.25" customHeight="1">
      <c r="Q39" s="304"/>
      <c r="R39" s="304"/>
      <c r="S39" s="2247" t="s">
        <v>88</v>
      </c>
      <c r="T39" s="2111" t="s">
        <v>1489</v>
      </c>
      <c r="U39" s="219"/>
      <c r="V39" s="2248" t="s">
        <v>1490</v>
      </c>
      <c r="W39" s="2249"/>
      <c r="X39" s="2249"/>
      <c r="Y39" s="2249"/>
      <c r="Z39" s="2249"/>
      <c r="AA39" s="2249"/>
      <c r="AB39" s="2250"/>
      <c r="AC39" s="2251" t="s">
        <v>1491</v>
      </c>
      <c r="AD39" s="2248" t="s">
        <v>1490</v>
      </c>
      <c r="AE39" s="2249"/>
      <c r="AF39" s="2249"/>
      <c r="AG39" s="2249"/>
      <c r="AH39" s="2249"/>
      <c r="AI39" s="2249"/>
      <c r="AJ39" s="2250"/>
      <c r="AK39" s="2251" t="s">
        <v>1492</v>
      </c>
      <c r="AL39" s="2254" t="s">
        <v>1493</v>
      </c>
      <c r="AM39" s="2021"/>
    </row>
    <row r="40" spans="1:44" ht="33.75" customHeight="1">
      <c r="Q40" s="304"/>
      <c r="R40" s="304"/>
      <c r="S40" s="2247"/>
      <c r="T40" s="2111"/>
      <c r="U40" s="924"/>
      <c r="V40" s="2080" t="s">
        <v>1494</v>
      </c>
      <c r="W40" s="2243" t="s">
        <v>1495</v>
      </c>
      <c r="X40" s="2003" t="s">
        <v>1496</v>
      </c>
      <c r="Y40" s="2002"/>
      <c r="Z40" s="2003" t="s">
        <v>1515</v>
      </c>
      <c r="AA40" s="2008"/>
      <c r="AB40" s="2002"/>
      <c r="AC40" s="2252"/>
      <c r="AD40" s="2080" t="s">
        <v>1494</v>
      </c>
      <c r="AE40" s="2243" t="s">
        <v>1495</v>
      </c>
      <c r="AF40" s="2003" t="s">
        <v>1496</v>
      </c>
      <c r="AG40" s="2002"/>
      <c r="AH40" s="2003" t="s">
        <v>1497</v>
      </c>
      <c r="AI40" s="2008"/>
      <c r="AJ40" s="2002"/>
      <c r="AK40" s="2252"/>
      <c r="AL40" s="2255"/>
      <c r="AM40" s="2021"/>
    </row>
    <row r="41" spans="1:44" ht="33.75" customHeight="1">
      <c r="A41" s="1251"/>
      <c r="B41" s="1251" t="s">
        <v>136</v>
      </c>
      <c r="C41" s="1251" t="s">
        <v>137</v>
      </c>
      <c r="D41" s="1251" t="s">
        <v>138</v>
      </c>
      <c r="E41" s="1245" t="s">
        <v>1498</v>
      </c>
      <c r="F41" s="1245" t="s">
        <v>1499</v>
      </c>
      <c r="G41" s="1245" t="s">
        <v>1500</v>
      </c>
      <c r="H41" s="1245" t="s">
        <v>1501</v>
      </c>
      <c r="I41" s="1245" t="s">
        <v>1502</v>
      </c>
      <c r="J41" s="1245" t="s">
        <v>1503</v>
      </c>
      <c r="K41" s="1245" t="s">
        <v>1504</v>
      </c>
      <c r="L41" s="1245" t="s">
        <v>1479</v>
      </c>
      <c r="Q41" s="304"/>
      <c r="R41" s="304"/>
      <c r="S41" s="2247"/>
      <c r="T41" s="2111"/>
      <c r="U41" s="220"/>
      <c r="V41" s="2136"/>
      <c r="W41" s="2244"/>
      <c r="X41" s="1092" t="s">
        <v>1505</v>
      </c>
      <c r="Y41" s="1092" t="s">
        <v>1506</v>
      </c>
      <c r="Z41" s="1223" t="s">
        <v>1507</v>
      </c>
      <c r="AA41" s="2117" t="s">
        <v>1508</v>
      </c>
      <c r="AB41" s="2131"/>
      <c r="AC41" s="2253"/>
      <c r="AD41" s="2136"/>
      <c r="AE41" s="2244"/>
      <c r="AF41" s="1092" t="s">
        <v>1505</v>
      </c>
      <c r="AG41" s="1092" t="s">
        <v>1506</v>
      </c>
      <c r="AH41" s="1223" t="s">
        <v>1507</v>
      </c>
      <c r="AI41" s="2117" t="s">
        <v>1508</v>
      </c>
      <c r="AJ41" s="2131"/>
      <c r="AK41" s="2253"/>
      <c r="AL41" s="2256"/>
      <c r="AM41" s="2021"/>
    </row>
    <row r="42" spans="1:44" s="1720" customFormat="1" ht="11.25" hidden="1" customHeight="1">
      <c r="A42" s="1251"/>
      <c r="B42" s="1251"/>
      <c r="C42" s="1251"/>
      <c r="D42" s="1251"/>
      <c r="E42" s="1251"/>
      <c r="F42" s="1251"/>
      <c r="G42" s="1251"/>
      <c r="H42" s="1251"/>
      <c r="I42" s="1251"/>
      <c r="J42" s="1251"/>
      <c r="K42" s="1251"/>
      <c r="L42" s="1245"/>
      <c r="M42" s="1243"/>
      <c r="N42" s="1243"/>
      <c r="O42" s="1243"/>
      <c r="P42" s="1119"/>
      <c r="Q42" s="1120"/>
      <c r="R42" s="1135">
        <v>1</v>
      </c>
      <c r="S42" s="1160" t="s">
        <v>109</v>
      </c>
      <c r="T42" s="1136" t="s">
        <v>110</v>
      </c>
      <c r="U42" s="1118" t="str">
        <f ca="1">OFFSET(U42,0,-1)</f>
        <v>2</v>
      </c>
      <c r="V42" s="1220">
        <f ca="1">OFFSET(V42,0,-1)+1</f>
        <v>3</v>
      </c>
      <c r="W42" s="1220"/>
      <c r="X42" s="1220">
        <f ca="1">OFFSET(X42,0,-1)+1</f>
        <v>1</v>
      </c>
      <c r="Y42" s="1220">
        <f ca="1">OFFSET(Y42,0,-1)+1</f>
        <v>2</v>
      </c>
      <c r="Z42" s="1220">
        <f ca="1">OFFSET(Z42,0,-1)+1</f>
        <v>3</v>
      </c>
      <c r="AA42" s="2245">
        <f ca="1">OFFSET(AA42,0,-1)+1</f>
        <v>4</v>
      </c>
      <c r="AB42" s="2245"/>
      <c r="AC42" s="1220">
        <f ca="1">OFFSET(AC42,0,-2)+1</f>
        <v>5</v>
      </c>
      <c r="AD42" s="1220">
        <f ca="1">OFFSET(AD42,0,-1)+1</f>
        <v>6</v>
      </c>
      <c r="AE42" s="1220"/>
      <c r="AF42" s="1220">
        <f ca="1">OFFSET(AF42,0,-1)+1</f>
        <v>1</v>
      </c>
      <c r="AG42" s="1220">
        <f ca="1">OFFSET(AG42,0,-1)+1</f>
        <v>2</v>
      </c>
      <c r="AH42" s="1220">
        <f ca="1">OFFSET(AH42,0,-1)+1</f>
        <v>3</v>
      </c>
      <c r="AI42" s="2245">
        <f ca="1">OFFSET(AI42,0,-1)+1</f>
        <v>4</v>
      </c>
      <c r="AJ42" s="2245"/>
      <c r="AK42" s="1220">
        <f ca="1">OFFSET(AK42,0,-2)+1</f>
        <v>5</v>
      </c>
      <c r="AL42" s="1118">
        <f ca="1">OFFSET(AL42,0,-1)</f>
        <v>5</v>
      </c>
      <c r="AM42" s="1220">
        <f ca="1">OFFSET(AM42,0,-1)+1</f>
        <v>6</v>
      </c>
      <c r="AN42" s="439"/>
      <c r="AO42" s="439"/>
      <c r="AP42" s="439"/>
      <c r="AQ42" s="439"/>
      <c r="AR42" s="439"/>
    </row>
    <row r="43" spans="1:44" ht="21" customHeight="1">
      <c r="A43" s="1244" t="s">
        <v>165</v>
      </c>
      <c r="B43" s="1244"/>
      <c r="C43" s="1244"/>
      <c r="D43" s="1244"/>
      <c r="E43" s="2235">
        <v>1</v>
      </c>
      <c r="F43" s="1244"/>
      <c r="G43" s="1244"/>
      <c r="H43" s="1244"/>
      <c r="I43" s="1244"/>
      <c r="J43" s="1244"/>
      <c r="K43" s="1244"/>
      <c r="L43" s="1245"/>
      <c r="M43" s="1246"/>
      <c r="N43" s="1246"/>
      <c r="O43" s="1246"/>
      <c r="P43" s="285"/>
      <c r="Q43" s="284"/>
      <c r="R43" s="279"/>
      <c r="S43" s="1221">
        <f>INDEX(PT_DIFFERENTIATION_NUM_NTAR,MATCH(A43,PT_DIFFERENTIATION_NTAR_ID,0))</f>
        <v>0</v>
      </c>
      <c r="T43" s="216" t="s">
        <v>124</v>
      </c>
      <c r="U43" s="218"/>
      <c r="V43" s="2229"/>
      <c r="W43" s="2230"/>
      <c r="X43" s="2230"/>
      <c r="Y43" s="2230"/>
      <c r="Z43" s="2230"/>
      <c r="AA43" s="2230"/>
      <c r="AB43" s="2230"/>
      <c r="AC43" s="2231"/>
      <c r="AD43" s="2229" t="str">
        <f>INDEX(PT_DIFFERENTIATION_NTAR,MATCH(A43,PT_DIFFERENTIATION_NTAR_ID,0))</f>
        <v/>
      </c>
      <c r="AE43" s="2230"/>
      <c r="AF43" s="2230"/>
      <c r="AG43" s="2230"/>
      <c r="AH43" s="2230"/>
      <c r="AI43" s="2230"/>
      <c r="AJ43" s="2230"/>
      <c r="AK43" s="2230"/>
      <c r="AL43" s="2231"/>
      <c r="AM43" s="1140" t="s">
        <v>1460</v>
      </c>
      <c r="AO43" s="428"/>
      <c r="AP43" s="428" t="str">
        <f t="shared" ref="AP43:AP57" si="1">IF(T43="","",T43)</f>
        <v>Наименование тарифа</v>
      </c>
      <c r="AQ43" s="428"/>
      <c r="AR43" s="428"/>
    </row>
    <row r="44" spans="1:44" ht="21" customHeight="1">
      <c r="A44" s="1244" t="s">
        <v>165</v>
      </c>
      <c r="B44" s="1244" t="s">
        <v>166</v>
      </c>
      <c r="C44" s="1244"/>
      <c r="D44" s="1244"/>
      <c r="E44" s="2236"/>
      <c r="F44" s="2235">
        <v>1</v>
      </c>
      <c r="G44" s="1244"/>
      <c r="H44" s="1244"/>
      <c r="I44" s="1244"/>
      <c r="J44" s="1244"/>
      <c r="K44" s="1244"/>
      <c r="L44" s="1245"/>
      <c r="M44" s="1246"/>
      <c r="N44" s="1246"/>
      <c r="O44" s="1246"/>
      <c r="P44" s="1217"/>
      <c r="Q44" s="276"/>
      <c r="R44" s="277"/>
      <c r="S44" s="1221" t="str">
        <f>INDEX(PT_DIFFERENTIATION_NUM_TER,MATCH(B44,PT_DIFFERENTIATION_TER_ID,0))</f>
        <v>.</v>
      </c>
      <c r="T44" s="228" t="s">
        <v>1461</v>
      </c>
      <c r="U44" s="218"/>
      <c r="V44" s="2229"/>
      <c r="W44" s="2230"/>
      <c r="X44" s="2230"/>
      <c r="Y44" s="2230"/>
      <c r="Z44" s="2230"/>
      <c r="AA44" s="2230"/>
      <c r="AB44" s="2230"/>
      <c r="AC44" s="2231"/>
      <c r="AD44" s="2229" t="str">
        <f>INDEX(PT_DIFFERENTIATION_TER,MATCH(B44,PT_DIFFERENTIATION_TER_ID,0))</f>
        <v/>
      </c>
      <c r="AE44" s="2230"/>
      <c r="AF44" s="2230"/>
      <c r="AG44" s="2230"/>
      <c r="AH44" s="2230"/>
      <c r="AI44" s="2230"/>
      <c r="AJ44" s="2230"/>
      <c r="AK44" s="2230"/>
      <c r="AL44" s="2231"/>
      <c r="AM44" s="1140" t="s">
        <v>1462</v>
      </c>
      <c r="AO44" s="428"/>
      <c r="AP44" s="428" t="str">
        <f t="shared" si="1"/>
        <v>Территория действия тарифа</v>
      </c>
      <c r="AQ44" s="428"/>
      <c r="AR44" s="428"/>
    </row>
    <row r="45" spans="1:44" ht="23.25" customHeight="1">
      <c r="A45" s="1244" t="s">
        <v>165</v>
      </c>
      <c r="B45" s="1244" t="s">
        <v>166</v>
      </c>
      <c r="C45" s="1244" t="s">
        <v>167</v>
      </c>
      <c r="D45" s="1244"/>
      <c r="E45" s="2236"/>
      <c r="F45" s="2236"/>
      <c r="G45" s="2235">
        <v>1</v>
      </c>
      <c r="H45" s="1244"/>
      <c r="I45" s="1244"/>
      <c r="J45" s="1244"/>
      <c r="K45" s="1244"/>
      <c r="L45" s="1245"/>
      <c r="M45" s="1246"/>
      <c r="N45" s="1246"/>
      <c r="O45" s="1246"/>
      <c r="P45" s="278"/>
      <c r="Q45" s="276"/>
      <c r="R45" s="277"/>
      <c r="S45" s="1221" t="str">
        <f>INDEX(PT_DIFFERENTIATION_NUM_CS,MATCH(C45,PT_DIFFERENTIATION_CS_ID,0))</f>
        <v>..</v>
      </c>
      <c r="T45" s="229" t="s">
        <v>1463</v>
      </c>
      <c r="U45" s="218"/>
      <c r="V45" s="2229"/>
      <c r="W45" s="2230"/>
      <c r="X45" s="2230"/>
      <c r="Y45" s="2230"/>
      <c r="Z45" s="2230"/>
      <c r="AA45" s="2230"/>
      <c r="AB45" s="2230"/>
      <c r="AC45" s="2231"/>
      <c r="AD45" s="2229" t="str">
        <f>INDEX(PT_DIFFERENTIATION_CS,MATCH(C45,PT_DIFFERENTIATION_CS_ID,0))</f>
        <v/>
      </c>
      <c r="AE45" s="2230"/>
      <c r="AF45" s="2230"/>
      <c r="AG45" s="2230"/>
      <c r="AH45" s="2230"/>
      <c r="AI45" s="2230"/>
      <c r="AJ45" s="2230"/>
      <c r="AK45" s="2230"/>
      <c r="AL45" s="2231"/>
      <c r="AM45" s="1140" t="s">
        <v>1464</v>
      </c>
      <c r="AO45" s="428"/>
      <c r="AP45" s="428" t="str">
        <f t="shared" si="1"/>
        <v xml:space="preserve">Наименование системы теплоснабжения </v>
      </c>
      <c r="AQ45" s="428"/>
      <c r="AR45" s="428"/>
    </row>
    <row r="46" spans="1:44" ht="21" customHeight="1">
      <c r="A46" s="1244" t="s">
        <v>165</v>
      </c>
      <c r="B46" s="1244" t="s">
        <v>166</v>
      </c>
      <c r="C46" s="1244" t="s">
        <v>167</v>
      </c>
      <c r="D46" s="1244" t="s">
        <v>168</v>
      </c>
      <c r="E46" s="2236"/>
      <c r="F46" s="2236"/>
      <c r="G46" s="2236"/>
      <c r="H46" s="2235">
        <v>1</v>
      </c>
      <c r="I46" s="1244"/>
      <c r="J46" s="1244"/>
      <c r="K46" s="1244"/>
      <c r="L46" s="1245"/>
      <c r="M46" s="1246"/>
      <c r="N46" s="1246"/>
      <c r="O46" s="1246"/>
      <c r="P46" s="278"/>
      <c r="Q46" s="276"/>
      <c r="R46" s="277"/>
      <c r="S46" s="1221" t="str">
        <f>INDEX(PT_DIFFERENTIATION_NUM_IST_TE,MATCH(D46,PT_DIFFERENTIATION_IST_TE_ID,0))</f>
        <v>...</v>
      </c>
      <c r="T46" s="230" t="s">
        <v>1465</v>
      </c>
      <c r="U46" s="218"/>
      <c r="V46" s="2229"/>
      <c r="W46" s="2230"/>
      <c r="X46" s="2230"/>
      <c r="Y46" s="2230"/>
      <c r="Z46" s="2230"/>
      <c r="AA46" s="2230"/>
      <c r="AB46" s="2230"/>
      <c r="AC46" s="2231"/>
      <c r="AD46" s="2229" t="str">
        <f>INDEX(PT_DIFFERENTIATION_IST_TE,MATCH(D46,PT_DIFFERENTIATION_IST_TE_ID,0))</f>
        <v/>
      </c>
      <c r="AE46" s="2230"/>
      <c r="AF46" s="2230"/>
      <c r="AG46" s="2230"/>
      <c r="AH46" s="2230"/>
      <c r="AI46" s="2230"/>
      <c r="AJ46" s="2230"/>
      <c r="AK46" s="2230"/>
      <c r="AL46" s="2231"/>
      <c r="AM46" s="1140" t="s">
        <v>1466</v>
      </c>
      <c r="AO46" s="428"/>
      <c r="AP46" s="428" t="str">
        <f t="shared" si="1"/>
        <v xml:space="preserve">Источник тепловой энергии  </v>
      </c>
      <c r="AQ46" s="428"/>
      <c r="AR46" s="428"/>
    </row>
    <row r="47" spans="1:44" ht="47.25" customHeight="1">
      <c r="A47" s="1244" t="s">
        <v>165</v>
      </c>
      <c r="B47" s="1244" t="s">
        <v>166</v>
      </c>
      <c r="C47" s="1244" t="s">
        <v>167</v>
      </c>
      <c r="D47" s="1244" t="s">
        <v>168</v>
      </c>
      <c r="E47" s="2236"/>
      <c r="F47" s="2236"/>
      <c r="G47" s="2236"/>
      <c r="H47" s="2236"/>
      <c r="I47" s="2237" t="str">
        <f>S46&amp;".1"</f>
        <v>....1</v>
      </c>
      <c r="J47" s="1244"/>
      <c r="K47" s="1244"/>
      <c r="L47" s="1245" t="s">
        <v>1467</v>
      </c>
      <c r="P47" s="2157">
        <v>1</v>
      </c>
      <c r="Q47" s="1216"/>
      <c r="R47" s="280"/>
      <c r="S47" s="1221" t="str">
        <f>$I47</f>
        <v>....1</v>
      </c>
      <c r="T47" s="203" t="s">
        <v>1468</v>
      </c>
      <c r="U47" s="218"/>
      <c r="V47" s="2224"/>
      <c r="W47" s="2225"/>
      <c r="X47" s="2225"/>
      <c r="Y47" s="2225"/>
      <c r="Z47" s="2225"/>
      <c r="AA47" s="2225"/>
      <c r="AB47" s="2225"/>
      <c r="AC47" s="2226"/>
      <c r="AD47" s="2224"/>
      <c r="AE47" s="2225"/>
      <c r="AF47" s="2225"/>
      <c r="AG47" s="2225"/>
      <c r="AH47" s="2225"/>
      <c r="AI47" s="2225"/>
      <c r="AJ47" s="2225"/>
      <c r="AK47" s="2225"/>
      <c r="AL47" s="2226"/>
      <c r="AM47" s="1140" t="s">
        <v>1469</v>
      </c>
      <c r="AO47" s="428"/>
      <c r="AP47" s="428" t="str">
        <f t="shared" si="1"/>
        <v>Схема подключения теплопотребляющей установки к коллектору источника тепловой энергии</v>
      </c>
      <c r="AQ47" s="428"/>
      <c r="AR47" s="428"/>
    </row>
    <row r="48" spans="1:44" ht="21" customHeight="1">
      <c r="A48" s="1244" t="s">
        <v>165</v>
      </c>
      <c r="B48" s="1244" t="s">
        <v>166</v>
      </c>
      <c r="C48" s="1244" t="s">
        <v>167</v>
      </c>
      <c r="D48" s="1244" t="s">
        <v>168</v>
      </c>
      <c r="E48" s="2236"/>
      <c r="F48" s="2236"/>
      <c r="G48" s="2236"/>
      <c r="H48" s="2236"/>
      <c r="I48" s="2238"/>
      <c r="J48" s="2237" t="str">
        <f>I47&amp;".1"</f>
        <v>....1.1</v>
      </c>
      <c r="K48" s="1244"/>
      <c r="L48" s="1245" t="s">
        <v>1470</v>
      </c>
      <c r="P48" s="2157"/>
      <c r="Q48" s="2157">
        <v>1</v>
      </c>
      <c r="R48" s="281"/>
      <c r="S48" s="1221" t="str">
        <f>$J48</f>
        <v>....1.1</v>
      </c>
      <c r="T48" s="204" t="s">
        <v>1471</v>
      </c>
      <c r="U48" s="218"/>
      <c r="V48" s="2224"/>
      <c r="W48" s="2225"/>
      <c r="X48" s="2225"/>
      <c r="Y48" s="2225"/>
      <c r="Z48" s="2225"/>
      <c r="AA48" s="2225"/>
      <c r="AB48" s="2225"/>
      <c r="AC48" s="2226"/>
      <c r="AD48" s="2224"/>
      <c r="AE48" s="2225"/>
      <c r="AF48" s="2225"/>
      <c r="AG48" s="2225"/>
      <c r="AH48" s="2225"/>
      <c r="AI48" s="2225"/>
      <c r="AJ48" s="2225"/>
      <c r="AK48" s="2225"/>
      <c r="AL48" s="2226"/>
      <c r="AM48" s="1140" t="s">
        <v>1472</v>
      </c>
      <c r="AO48" s="428"/>
      <c r="AP48" s="428" t="str">
        <f t="shared" si="1"/>
        <v>Группа потребителей</v>
      </c>
      <c r="AQ48" s="428"/>
      <c r="AR48" s="428"/>
    </row>
    <row r="49" spans="1:44" ht="21" customHeight="1">
      <c r="A49" s="1244" t="s">
        <v>165</v>
      </c>
      <c r="B49" s="1244" t="s">
        <v>166</v>
      </c>
      <c r="C49" s="1244" t="s">
        <v>167</v>
      </c>
      <c r="D49" s="1244" t="s">
        <v>168</v>
      </c>
      <c r="E49" s="2236"/>
      <c r="F49" s="2236"/>
      <c r="G49" s="2236"/>
      <c r="H49" s="2236"/>
      <c r="I49" s="2238"/>
      <c r="J49" s="2238"/>
      <c r="K49" s="2237" t="str">
        <f>J48&amp;".1"</f>
        <v>....1.1.1</v>
      </c>
      <c r="L49" s="1245" t="s">
        <v>1473</v>
      </c>
      <c r="P49" s="2157"/>
      <c r="Q49" s="2157"/>
      <c r="R49" s="281">
        <v>1</v>
      </c>
      <c r="S49" s="1221" t="str">
        <f>$K49</f>
        <v>....1.1.1</v>
      </c>
      <c r="T49" s="1232"/>
      <c r="U49" s="218"/>
      <c r="V49" s="1667"/>
      <c r="W49" s="1668"/>
      <c r="X49" s="1667"/>
      <c r="Y49" s="1669"/>
      <c r="Z49" s="2239"/>
      <c r="AA49" s="2031" t="s">
        <v>66</v>
      </c>
      <c r="AB49" s="2239"/>
      <c r="AC49" s="2031" t="s">
        <v>66</v>
      </c>
      <c r="AD49" s="1667"/>
      <c r="AE49" s="1668"/>
      <c r="AF49" s="1667"/>
      <c r="AG49" s="1669"/>
      <c r="AH49" s="2239"/>
      <c r="AI49" s="2031" t="s">
        <v>66</v>
      </c>
      <c r="AJ49" s="2241"/>
      <c r="AK49" s="2031" t="s">
        <v>66</v>
      </c>
      <c r="AL49" s="1675"/>
      <c r="AM49" s="2257" t="s">
        <v>1474</v>
      </c>
      <c r="AN49" s="439" t="e">
        <f ca="1">STRCHECKDATE(V50:AL50)</f>
        <v>#NAME?</v>
      </c>
      <c r="AO49" s="428"/>
      <c r="AP49" s="428" t="str">
        <f t="shared" si="1"/>
        <v/>
      </c>
      <c r="AQ49" s="428"/>
      <c r="AR49" s="428"/>
    </row>
    <row r="50" spans="1:44" ht="0.75" customHeight="1">
      <c r="A50" s="1244" t="s">
        <v>165</v>
      </c>
      <c r="B50" s="1244" t="s">
        <v>166</v>
      </c>
      <c r="C50" s="1244" t="s">
        <v>167</v>
      </c>
      <c r="D50" s="1244" t="s">
        <v>168</v>
      </c>
      <c r="E50" s="2236"/>
      <c r="F50" s="2236"/>
      <c r="G50" s="2236"/>
      <c r="H50" s="2236"/>
      <c r="I50" s="2238"/>
      <c r="J50" s="2238"/>
      <c r="K50" s="2237"/>
      <c r="L50" s="1245"/>
      <c r="P50" s="2157"/>
      <c r="Q50" s="2157"/>
      <c r="R50" s="281"/>
      <c r="S50" s="1227"/>
      <c r="T50" s="218"/>
      <c r="U50" s="218"/>
      <c r="V50" s="1668"/>
      <c r="W50" s="1668"/>
      <c r="X50" s="1668"/>
      <c r="Y50" s="1670" t="str">
        <f>Z49&amp;"-"&amp;AB49</f>
        <v>-</v>
      </c>
      <c r="Z50" s="2240"/>
      <c r="AA50" s="2031"/>
      <c r="AB50" s="2240"/>
      <c r="AC50" s="2031"/>
      <c r="AD50" s="1668"/>
      <c r="AE50" s="1668"/>
      <c r="AF50" s="1668"/>
      <c r="AG50" s="1670" t="str">
        <f>AH49&amp;"-"&amp;AJ49</f>
        <v>-</v>
      </c>
      <c r="AH50" s="2240"/>
      <c r="AI50" s="2031"/>
      <c r="AJ50" s="2242"/>
      <c r="AK50" s="2031"/>
      <c r="AL50" s="1676"/>
      <c r="AM50" s="2258"/>
      <c r="AO50" s="428"/>
      <c r="AP50" s="428" t="str">
        <f t="shared" si="1"/>
        <v/>
      </c>
      <c r="AQ50" s="428"/>
      <c r="AR50" s="428"/>
    </row>
    <row r="51" spans="1:44" ht="11.25" customHeight="1">
      <c r="A51" s="1244" t="s">
        <v>165</v>
      </c>
      <c r="B51" s="1244" t="s">
        <v>166</v>
      </c>
      <c r="C51" s="1244" t="s">
        <v>167</v>
      </c>
      <c r="D51" s="1244" t="s">
        <v>168</v>
      </c>
      <c r="E51" s="2236"/>
      <c r="F51" s="2236"/>
      <c r="G51" s="2236"/>
      <c r="H51" s="2236"/>
      <c r="I51" s="2238"/>
      <c r="J51" s="2237"/>
      <c r="K51" s="1244"/>
      <c r="L51" s="1245"/>
      <c r="P51" s="2157"/>
      <c r="Q51" s="2157"/>
      <c r="R51" s="280"/>
      <c r="S51" s="1161"/>
      <c r="T51" s="206" t="s">
        <v>1475</v>
      </c>
      <c r="U51" s="294"/>
      <c r="V51" s="294"/>
      <c r="W51" s="294"/>
      <c r="X51" s="294"/>
      <c r="Y51" s="294"/>
      <c r="Z51" s="294"/>
      <c r="AA51" s="294"/>
      <c r="AB51" s="294"/>
      <c r="AC51" s="294"/>
      <c r="AD51" s="294"/>
      <c r="AE51" s="294"/>
      <c r="AF51" s="294"/>
      <c r="AG51" s="294"/>
      <c r="AH51" s="294"/>
      <c r="AI51" s="294"/>
      <c r="AJ51" s="294"/>
      <c r="AK51" s="294"/>
      <c r="AL51" s="251"/>
      <c r="AM51" s="2259"/>
      <c r="AO51" s="428"/>
      <c r="AP51" s="428" t="str">
        <f t="shared" si="1"/>
        <v>Добавить вид теплоносителя (параметры теплоносителя)</v>
      </c>
      <c r="AQ51" s="428"/>
      <c r="AR51" s="428"/>
    </row>
    <row r="52" spans="1:44" ht="11.25" customHeight="1">
      <c r="A52" s="1244" t="s">
        <v>165</v>
      </c>
      <c r="B52" s="1244" t="s">
        <v>166</v>
      </c>
      <c r="C52" s="1244" t="s">
        <v>167</v>
      </c>
      <c r="D52" s="1244" t="s">
        <v>168</v>
      </c>
      <c r="E52" s="2236"/>
      <c r="F52" s="2236"/>
      <c r="G52" s="2236"/>
      <c r="H52" s="2236"/>
      <c r="I52" s="2237"/>
      <c r="J52" s="1244"/>
      <c r="K52" s="1244"/>
      <c r="L52" s="1245"/>
      <c r="P52" s="2157"/>
      <c r="Q52" s="1216"/>
      <c r="R52" s="280"/>
      <c r="S52" s="1161"/>
      <c r="T52" s="205" t="s">
        <v>1476</v>
      </c>
      <c r="U52" s="294"/>
      <c r="V52" s="294"/>
      <c r="W52" s="294"/>
      <c r="X52" s="294"/>
      <c r="Y52" s="294"/>
      <c r="Z52" s="294"/>
      <c r="AA52" s="294"/>
      <c r="AB52" s="294"/>
      <c r="AC52" s="293"/>
      <c r="AD52" s="294"/>
      <c r="AE52" s="294"/>
      <c r="AF52" s="294"/>
      <c r="AG52" s="294"/>
      <c r="AH52" s="294"/>
      <c r="AI52" s="294"/>
      <c r="AJ52" s="294"/>
      <c r="AK52" s="293"/>
      <c r="AL52" s="294"/>
      <c r="AM52" s="221"/>
      <c r="AO52" s="428"/>
      <c r="AP52" s="428" t="str">
        <f t="shared" si="1"/>
        <v>Добавить группу потребителей</v>
      </c>
      <c r="AQ52" s="428"/>
      <c r="AR52" s="428"/>
    </row>
    <row r="53" spans="1:44" ht="14.25" customHeight="1">
      <c r="A53" s="1244" t="s">
        <v>165</v>
      </c>
      <c r="B53" s="1244" t="s">
        <v>166</v>
      </c>
      <c r="C53" s="1244" t="s">
        <v>167</v>
      </c>
      <c r="D53" s="1244" t="s">
        <v>168</v>
      </c>
      <c r="E53" s="2236"/>
      <c r="F53" s="2236"/>
      <c r="G53" s="2236"/>
      <c r="H53" s="2235"/>
      <c r="I53" s="1244"/>
      <c r="J53" s="1244"/>
      <c r="K53" s="1244"/>
      <c r="L53" s="1245"/>
      <c r="M53" s="1246"/>
      <c r="N53" s="1246"/>
      <c r="O53" s="464"/>
      <c r="P53" s="284"/>
      <c r="Q53" s="303"/>
      <c r="R53" s="279"/>
      <c r="S53" s="1161"/>
      <c r="T53" s="291" t="s">
        <v>1477</v>
      </c>
      <c r="U53" s="294"/>
      <c r="V53" s="294"/>
      <c r="W53" s="294"/>
      <c r="X53" s="294"/>
      <c r="Y53" s="294"/>
      <c r="Z53" s="294"/>
      <c r="AA53" s="294"/>
      <c r="AB53" s="294"/>
      <c r="AC53" s="293"/>
      <c r="AD53" s="294"/>
      <c r="AE53" s="294"/>
      <c r="AF53" s="294"/>
      <c r="AG53" s="294"/>
      <c r="AH53" s="294"/>
      <c r="AI53" s="294"/>
      <c r="AJ53" s="294"/>
      <c r="AK53" s="293"/>
      <c r="AL53" s="294"/>
      <c r="AM53" s="221"/>
      <c r="AO53" s="428"/>
      <c r="AP53" s="428" t="str">
        <f t="shared" si="1"/>
        <v>Добавить схему подключения</v>
      </c>
      <c r="AQ53" s="428"/>
      <c r="AR53" s="428"/>
    </row>
    <row r="54" spans="1:44" s="1772" customFormat="1" ht="0.75" customHeight="1">
      <c r="A54" s="1228" t="s">
        <v>165</v>
      </c>
      <c r="B54" s="1228" t="s">
        <v>166</v>
      </c>
      <c r="C54" s="1228" t="s">
        <v>167</v>
      </c>
      <c r="D54" s="1200"/>
      <c r="E54" s="2236"/>
      <c r="F54" s="2236"/>
      <c r="G54" s="2235"/>
      <c r="H54" s="1200"/>
      <c r="I54" s="1200"/>
      <c r="J54" s="1200"/>
      <c r="K54" s="1200"/>
      <c r="L54" s="1224"/>
      <c r="M54" s="1201"/>
      <c r="N54" s="1201"/>
      <c r="P54" s="1202"/>
      <c r="Q54" s="1203"/>
      <c r="R54" s="1202"/>
      <c r="S54" s="1208"/>
      <c r="T54" s="1211" t="s">
        <v>1436</v>
      </c>
      <c r="U54" s="1210"/>
      <c r="V54" s="1210"/>
      <c r="W54" s="1210"/>
      <c r="X54" s="1210"/>
      <c r="Y54" s="1210"/>
      <c r="Z54" s="1210"/>
      <c r="AA54" s="1210"/>
      <c r="AB54" s="1210"/>
      <c r="AC54" s="1210"/>
      <c r="AD54" s="1210"/>
      <c r="AE54" s="1210"/>
      <c r="AF54" s="1210"/>
      <c r="AG54" s="1210"/>
      <c r="AH54" s="1210"/>
      <c r="AI54" s="1210"/>
      <c r="AJ54" s="1210"/>
      <c r="AK54" s="1210"/>
      <c r="AL54" s="1210"/>
      <c r="AM54" s="1210"/>
      <c r="AO54" s="696"/>
      <c r="AP54" s="696" t="str">
        <f t="shared" si="1"/>
        <v>Добавить источник для дифференциации</v>
      </c>
      <c r="AQ54" s="696"/>
      <c r="AR54" s="696"/>
    </row>
    <row r="55" spans="1:44" s="1772" customFormat="1" ht="0.75" customHeight="1">
      <c r="A55" s="1228" t="s">
        <v>165</v>
      </c>
      <c r="B55" s="1228" t="s">
        <v>166</v>
      </c>
      <c r="C55" s="1200"/>
      <c r="D55" s="1200"/>
      <c r="E55" s="2236"/>
      <c r="F55" s="2235"/>
      <c r="G55" s="1200"/>
      <c r="H55" s="1200"/>
      <c r="I55" s="1200"/>
      <c r="J55" s="1200"/>
      <c r="K55" s="1200"/>
      <c r="L55" s="1224"/>
      <c r="M55" s="1207"/>
      <c r="N55" s="1207"/>
      <c r="P55" s="1202"/>
      <c r="Q55" s="1203"/>
      <c r="R55" s="1202"/>
      <c r="S55" s="1208"/>
      <c r="T55" s="1211" t="s">
        <v>1437</v>
      </c>
      <c r="U55" s="1210"/>
      <c r="V55" s="1210"/>
      <c r="W55" s="1210"/>
      <c r="X55" s="1210"/>
      <c r="Y55" s="1210"/>
      <c r="Z55" s="1210"/>
      <c r="AA55" s="1210"/>
      <c r="AB55" s="1210"/>
      <c r="AC55" s="1210"/>
      <c r="AD55" s="1210"/>
      <c r="AE55" s="1210"/>
      <c r="AF55" s="1210"/>
      <c r="AG55" s="1210"/>
      <c r="AH55" s="1210"/>
      <c r="AI55" s="1210"/>
      <c r="AJ55" s="1210"/>
      <c r="AK55" s="1210"/>
      <c r="AL55" s="1210"/>
      <c r="AM55" s="1210"/>
      <c r="AO55" s="696"/>
      <c r="AP55" s="696" t="str">
        <f t="shared" si="1"/>
        <v>Добавить централизованную систему для дифференциации</v>
      </c>
      <c r="AQ55" s="696"/>
      <c r="AR55" s="696"/>
    </row>
    <row r="56" spans="1:44" s="1772" customFormat="1" ht="0.75" customHeight="1">
      <c r="A56" s="1228" t="s">
        <v>165</v>
      </c>
      <c r="B56" s="1228"/>
      <c r="C56" s="1228"/>
      <c r="D56" s="1228"/>
      <c r="E56" s="2235"/>
      <c r="F56" s="1228"/>
      <c r="G56" s="1228"/>
      <c r="H56" s="1228"/>
      <c r="I56" s="1228"/>
      <c r="J56" s="1228"/>
      <c r="K56" s="1228"/>
      <c r="L56" s="1231"/>
      <c r="M56" s="1207"/>
      <c r="N56" s="1207"/>
      <c r="O56" s="446"/>
      <c r="P56" s="311"/>
      <c r="Q56" s="1229"/>
      <c r="R56" s="311"/>
      <c r="S56" s="1208"/>
      <c r="T56" s="1211" t="s">
        <v>1438</v>
      </c>
      <c r="U56" s="1210"/>
      <c r="V56" s="1210"/>
      <c r="W56" s="1210"/>
      <c r="X56" s="1210"/>
      <c r="Y56" s="1210"/>
      <c r="Z56" s="1210"/>
      <c r="AA56" s="1210"/>
      <c r="AB56" s="1210"/>
      <c r="AC56" s="1210"/>
      <c r="AD56" s="1210"/>
      <c r="AE56" s="1210"/>
      <c r="AF56" s="1210"/>
      <c r="AG56" s="1210"/>
      <c r="AH56" s="1210"/>
      <c r="AI56" s="1210"/>
      <c r="AJ56" s="1210"/>
      <c r="AK56" s="1210"/>
      <c r="AL56" s="1210"/>
      <c r="AM56" s="1210"/>
      <c r="AO56" s="428"/>
      <c r="AP56" s="428" t="str">
        <f t="shared" si="1"/>
        <v>Добавить территорию для дифференциации</v>
      </c>
      <c r="AQ56" s="428"/>
      <c r="AR56" s="428"/>
    </row>
    <row r="57" spans="1:44" s="1772" customFormat="1" ht="0.75" customHeight="1">
      <c r="A57" s="1200"/>
      <c r="B57" s="1200"/>
      <c r="C57" s="1200"/>
      <c r="D57" s="1200"/>
      <c r="E57" s="1228"/>
      <c r="F57" s="1200"/>
      <c r="G57" s="1200"/>
      <c r="H57" s="1200"/>
      <c r="I57" s="1200"/>
      <c r="J57" s="1200"/>
      <c r="K57" s="1200"/>
      <c r="L57" s="1224"/>
      <c r="M57" s="1207"/>
      <c r="N57" s="1207"/>
      <c r="P57" s="1202"/>
      <c r="Q57" s="1203"/>
      <c r="R57" s="1202"/>
      <c r="S57" s="1208"/>
      <c r="T57" s="1211" t="s">
        <v>1439</v>
      </c>
      <c r="U57" s="1210"/>
      <c r="V57" s="1210"/>
      <c r="W57" s="1210"/>
      <c r="X57" s="1210"/>
      <c r="Y57" s="1210"/>
      <c r="Z57" s="1210"/>
      <c r="AA57" s="1210"/>
      <c r="AB57" s="1210"/>
      <c r="AC57" s="1210"/>
      <c r="AD57" s="1210"/>
      <c r="AE57" s="1210"/>
      <c r="AF57" s="1210"/>
      <c r="AG57" s="1210"/>
      <c r="AH57" s="1210"/>
      <c r="AI57" s="1210"/>
      <c r="AJ57" s="1210"/>
      <c r="AK57" s="1210"/>
      <c r="AL57" s="1210"/>
      <c r="AM57" s="1210"/>
      <c r="AO57" s="696"/>
      <c r="AP57" s="696" t="str">
        <f t="shared" si="1"/>
        <v>Добавить наименование тарифа</v>
      </c>
      <c r="AQ57" s="696"/>
      <c r="AR57" s="696"/>
    </row>
    <row r="58" spans="1:44" ht="11.25" hidden="1" customHeight="1">
      <c r="M58" s="1036"/>
      <c r="N58" s="1036"/>
      <c r="O58" s="464"/>
      <c r="P58" s="1031"/>
      <c r="Q58" s="1031"/>
      <c r="R58" s="1031"/>
      <c r="S58" s="1031"/>
      <c r="AN58" s="1031"/>
      <c r="AO58" s="1031"/>
      <c r="AP58" s="1031"/>
      <c r="AQ58" s="1031"/>
      <c r="AR58" s="1031"/>
    </row>
    <row r="59" spans="1:44" ht="27" hidden="1" customHeight="1">
      <c r="O59" s="464"/>
      <c r="S59" s="1128" t="s">
        <v>1509</v>
      </c>
      <c r="T59" s="2234" t="s">
        <v>1516</v>
      </c>
      <c r="U59" s="2234"/>
      <c r="V59" s="2234"/>
      <c r="W59" s="2234"/>
      <c r="X59" s="2234"/>
      <c r="Y59" s="2234"/>
      <c r="Z59" s="2234"/>
      <c r="AA59" s="2234"/>
      <c r="AB59" s="2234"/>
      <c r="AC59" s="2234"/>
      <c r="AD59" s="2234"/>
      <c r="AE59" s="2234"/>
      <c r="AF59" s="2234"/>
      <c r="AG59" s="2234"/>
      <c r="AH59" s="2234"/>
      <c r="AI59" s="2234"/>
      <c r="AJ59" s="2234"/>
      <c r="AK59" s="2234"/>
      <c r="AL59" s="2234"/>
      <c r="AM59" s="2234"/>
    </row>
    <row r="60" spans="1:44" ht="62.25" hidden="1" customHeight="1">
      <c r="O60" s="464"/>
      <c r="T60" s="2234" t="s">
        <v>1511</v>
      </c>
      <c r="U60" s="2234"/>
      <c r="V60" s="2234"/>
      <c r="W60" s="2234"/>
      <c r="X60" s="2234"/>
      <c r="Y60" s="2234"/>
      <c r="Z60" s="2234"/>
      <c r="AA60" s="2234"/>
      <c r="AB60" s="2234"/>
      <c r="AC60" s="2234"/>
      <c r="AD60" s="2234"/>
      <c r="AE60" s="2234"/>
      <c r="AF60" s="2234"/>
      <c r="AG60" s="2234"/>
      <c r="AH60" s="2234"/>
      <c r="AI60" s="2234"/>
      <c r="AJ60" s="2234"/>
      <c r="AK60" s="2234"/>
      <c r="AL60" s="2234"/>
      <c r="AM60" s="2234"/>
    </row>
    <row r="61" spans="1:44" ht="14.25" hidden="1" customHeight="1">
      <c r="O61" s="464"/>
    </row>
    <row r="62" spans="1:44" ht="18" hidden="1" customHeight="1">
      <c r="O62" s="464"/>
      <c r="S62" s="1128" t="s">
        <v>1509</v>
      </c>
      <c r="T62" s="2234" t="s">
        <v>1512</v>
      </c>
      <c r="U62" s="2234"/>
      <c r="V62" s="2234"/>
      <c r="W62" s="2234"/>
      <c r="X62" s="2234"/>
      <c r="Y62" s="2234"/>
      <c r="Z62" s="2234"/>
      <c r="AA62" s="2234"/>
      <c r="AB62" s="2234"/>
      <c r="AC62" s="2234"/>
      <c r="AD62" s="2234"/>
      <c r="AE62" s="2234"/>
      <c r="AF62" s="2234"/>
      <c r="AG62" s="2234"/>
      <c r="AH62" s="2234"/>
      <c r="AI62" s="2234"/>
      <c r="AJ62" s="2234"/>
      <c r="AK62" s="2234"/>
      <c r="AL62" s="2234"/>
      <c r="AM62" s="2234"/>
    </row>
    <row r="63" spans="1:44" ht="18" hidden="1" customHeight="1">
      <c r="O63" s="464"/>
      <c r="T63" s="2234" t="s">
        <v>1513</v>
      </c>
      <c r="U63" s="2234"/>
      <c r="V63" s="2234"/>
      <c r="W63" s="2234"/>
      <c r="X63" s="2234"/>
      <c r="Y63" s="2234"/>
      <c r="Z63" s="2234"/>
      <c r="AA63" s="2234"/>
      <c r="AB63" s="2234"/>
      <c r="AC63" s="2234"/>
      <c r="AD63" s="2234"/>
      <c r="AE63" s="2234"/>
      <c r="AF63" s="2234"/>
      <c r="AG63" s="2234"/>
      <c r="AH63" s="2234"/>
      <c r="AI63" s="2234"/>
      <c r="AJ63" s="2234"/>
      <c r="AK63" s="2234"/>
      <c r="AL63" s="2234"/>
      <c r="AM63" s="2234"/>
    </row>
    <row r="64" spans="1:44" ht="27.75" hidden="1" customHeight="1">
      <c r="O64" s="464"/>
      <c r="S64" s="1128"/>
      <c r="T64" s="2234" t="s">
        <v>1514</v>
      </c>
      <c r="U64" s="2234"/>
      <c r="V64" s="2234"/>
      <c r="W64" s="2234"/>
      <c r="X64" s="2234"/>
      <c r="Y64" s="2234"/>
      <c r="Z64" s="2234"/>
      <c r="AA64" s="2234"/>
      <c r="AB64" s="2234"/>
      <c r="AC64" s="2234"/>
      <c r="AD64" s="2234"/>
      <c r="AE64" s="2234"/>
      <c r="AF64" s="2234"/>
      <c r="AG64" s="2234"/>
      <c r="AH64" s="2234"/>
      <c r="AI64" s="2234"/>
      <c r="AJ64" s="2234"/>
      <c r="AK64" s="2234"/>
      <c r="AL64" s="2234"/>
      <c r="AM64" s="2234"/>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759" hidden="1"/>
    <col min="2" max="2" width="11" style="1759" hidden="1" customWidth="1"/>
    <col min="3" max="3" width="10.5703125" style="1759" hidden="1"/>
    <col min="4" max="4" width="11.85546875" style="1759" hidden="1" customWidth="1"/>
    <col min="5" max="5" width="10" style="1759" hidden="1" customWidth="1"/>
    <col min="6" max="6" width="8.7109375" style="1759" hidden="1" customWidth="1"/>
    <col min="7" max="7" width="7.5703125" style="1759" hidden="1" customWidth="1"/>
    <col min="8" max="8" width="11.42578125" style="1759" hidden="1" customWidth="1"/>
    <col min="9" max="9" width="12" style="1759" hidden="1" customWidth="1"/>
    <col min="10" max="10" width="9.85546875" style="1759" hidden="1" customWidth="1"/>
    <col min="11" max="11" width="11.42578125" style="1759" hidden="1" customWidth="1"/>
    <col min="12" max="12" width="19.140625" style="1758" hidden="1" customWidth="1"/>
    <col min="13" max="14" width="12.28515625" style="1686" hidden="1" customWidth="1"/>
    <col min="15" max="15" width="23.42578125" style="1686" hidden="1" customWidth="1"/>
    <col min="16" max="16" width="3.7109375" style="1740" customWidth="1"/>
    <col min="17" max="18" width="3.7109375" style="1677" customWidth="1"/>
    <col min="19" max="19" width="12.7109375" style="1727" customWidth="1"/>
    <col min="20" max="20" width="32" style="1846" customWidth="1"/>
    <col min="21" max="22" width="0.140625" style="1846" customWidth="1"/>
    <col min="23" max="23" width="24.7109375" style="1846" hidden="1" customWidth="1"/>
    <col min="24" max="25" width="0.140625" style="1846" hidden="1" customWidth="1"/>
    <col min="26" max="26" width="11.7109375" style="1846" hidden="1" customWidth="1"/>
    <col min="27" max="27" width="3.7109375" style="1846" hidden="1" customWidth="1"/>
    <col min="28" max="28" width="11.7109375" style="1846" hidden="1" customWidth="1"/>
    <col min="29" max="29" width="8.5703125" style="1846" hidden="1" customWidth="1"/>
    <col min="30" max="30" width="0.140625" style="1846" customWidth="1"/>
    <col min="31" max="31" width="24.7109375" style="1846" customWidth="1"/>
    <col min="32" max="33" width="0.140625" style="1846" customWidth="1"/>
    <col min="34" max="34" width="11.7109375" style="1846" customWidth="1"/>
    <col min="35" max="35" width="3.7109375" style="1846" customWidth="1"/>
    <col min="36" max="36" width="11.7109375" style="1846" customWidth="1"/>
    <col min="37" max="37" width="8.5703125" style="1846" hidden="1" customWidth="1"/>
    <col min="38" max="38" width="4.7109375" style="1846" customWidth="1"/>
    <col min="39" max="39" width="115.7109375" style="1846" customWidth="1"/>
    <col min="40" max="41" width="10.5703125" style="1772"/>
    <col min="42" max="42" width="11.140625" style="1772" customWidth="1"/>
    <col min="43" max="44" width="10.5703125" style="1772"/>
  </cols>
  <sheetData>
    <row r="1" spans="1:44" ht="14.25" hidden="1" customHeight="1">
      <c r="Y1" s="254"/>
      <c r="Z1" s="254"/>
      <c r="AG1" s="254"/>
      <c r="AH1" s="254"/>
    </row>
    <row r="2" spans="1:44" ht="21" hidden="1" customHeight="1">
      <c r="A2" s="1244"/>
      <c r="B2" s="1244"/>
      <c r="C2" s="1244"/>
      <c r="D2" s="1244"/>
      <c r="E2" s="2235">
        <v>1</v>
      </c>
      <c r="F2" s="1244"/>
      <c r="G2" s="1244"/>
      <c r="H2" s="1244"/>
      <c r="I2" s="1244"/>
      <c r="J2" s="1244"/>
      <c r="K2" s="1244"/>
      <c r="L2" s="1245"/>
      <c r="M2" s="1246"/>
      <c r="N2" s="1246"/>
      <c r="O2" s="1246"/>
      <c r="P2" s="285"/>
      <c r="Q2" s="284"/>
      <c r="R2" s="279"/>
      <c r="S2" s="1221" t="e">
        <f>INDEX(PT_DIFFERENTIATION_NUM_NTAR,MATCH(A2,PT_DIFFERENTIATION_NTAR_ID,0))</f>
        <v>#N/A</v>
      </c>
      <c r="T2" s="216" t="s">
        <v>124</v>
      </c>
      <c r="U2" s="218"/>
      <c r="V2" s="2229"/>
      <c r="W2" s="2230"/>
      <c r="X2" s="2230"/>
      <c r="Y2" s="2230"/>
      <c r="Z2" s="2230"/>
      <c r="AA2" s="2230"/>
      <c r="AB2" s="2230"/>
      <c r="AC2" s="2231"/>
      <c r="AD2" s="2229" t="e">
        <f>INDEX(PT_DIFFERENTIATION_NTAR,MATCH(A2,PT_DIFFERENTIATION_NTAR_ID,0))</f>
        <v>#N/A</v>
      </c>
      <c r="AE2" s="2230"/>
      <c r="AF2" s="2230"/>
      <c r="AG2" s="2230"/>
      <c r="AH2" s="2230"/>
      <c r="AI2" s="2230"/>
      <c r="AJ2" s="2230"/>
      <c r="AK2" s="2230"/>
      <c r="AL2" s="2231"/>
      <c r="AM2" s="1140" t="s">
        <v>1460</v>
      </c>
      <c r="AO2" s="428"/>
      <c r="AP2" s="428" t="str">
        <f t="shared" ref="AP2:AP15" si="0">IF(T2="","",T2)</f>
        <v>Наименование тарифа</v>
      </c>
      <c r="AQ2" s="428"/>
      <c r="AR2" s="428"/>
    </row>
    <row r="3" spans="1:44" ht="21" hidden="1" customHeight="1">
      <c r="A3" s="1244"/>
      <c r="B3" s="1244"/>
      <c r="C3" s="1244"/>
      <c r="D3" s="1244"/>
      <c r="E3" s="2236"/>
      <c r="F3" s="2235">
        <v>1</v>
      </c>
      <c r="G3" s="1244"/>
      <c r="H3" s="1244"/>
      <c r="I3" s="1244"/>
      <c r="J3" s="1244"/>
      <c r="K3" s="1244"/>
      <c r="L3" s="1245"/>
      <c r="M3" s="1246"/>
      <c r="N3" s="1246"/>
      <c r="O3" s="1246"/>
      <c r="P3" s="1217"/>
      <c r="Q3" s="276"/>
      <c r="R3" s="277"/>
      <c r="S3" s="1221" t="e">
        <f>INDEX(PT_DIFFERENTIATION_NUM_TER,MATCH(B3,PT_DIFFERENTIATION_TER_ID,0))</f>
        <v>#N/A</v>
      </c>
      <c r="T3" s="228" t="s">
        <v>1461</v>
      </c>
      <c r="U3" s="218"/>
      <c r="V3" s="2229"/>
      <c r="W3" s="2230"/>
      <c r="X3" s="2230"/>
      <c r="Y3" s="2230"/>
      <c r="Z3" s="2230"/>
      <c r="AA3" s="2230"/>
      <c r="AB3" s="2230"/>
      <c r="AC3" s="2231"/>
      <c r="AD3" s="2229" t="e">
        <f>INDEX(PT_DIFFERENTIATION_TER,MATCH(B3,PT_DIFFERENTIATION_TER_ID,0))</f>
        <v>#N/A</v>
      </c>
      <c r="AE3" s="2230"/>
      <c r="AF3" s="2230"/>
      <c r="AG3" s="2230"/>
      <c r="AH3" s="2230"/>
      <c r="AI3" s="2230"/>
      <c r="AJ3" s="2230"/>
      <c r="AK3" s="2230"/>
      <c r="AL3" s="2231"/>
      <c r="AM3" s="1140" t="s">
        <v>1462</v>
      </c>
      <c r="AO3" s="428"/>
      <c r="AP3" s="428" t="str">
        <f t="shared" si="0"/>
        <v>Территория действия тарифа</v>
      </c>
      <c r="AQ3" s="428"/>
      <c r="AR3" s="428"/>
    </row>
    <row r="4" spans="1:44" ht="23.25" hidden="1" customHeight="1">
      <c r="A4" s="1244"/>
      <c r="B4" s="1244"/>
      <c r="C4" s="1244"/>
      <c r="D4" s="1244"/>
      <c r="E4" s="2236"/>
      <c r="F4" s="2236"/>
      <c r="G4" s="2235">
        <v>1</v>
      </c>
      <c r="H4" s="1244"/>
      <c r="I4" s="1244"/>
      <c r="J4" s="1244"/>
      <c r="K4" s="1244"/>
      <c r="L4" s="1245"/>
      <c r="M4" s="1246"/>
      <c r="N4" s="1246"/>
      <c r="O4" s="1246"/>
      <c r="P4" s="278"/>
      <c r="Q4" s="276"/>
      <c r="R4" s="277"/>
      <c r="S4" s="1221" t="e">
        <f>INDEX(PT_DIFFERENTIATION_NUM_CS,MATCH(C4,PT_DIFFERENTIATION_CS_ID,0))</f>
        <v>#N/A</v>
      </c>
      <c r="T4" s="229" t="s">
        <v>1463</v>
      </c>
      <c r="U4" s="218"/>
      <c r="V4" s="2229"/>
      <c r="W4" s="2230"/>
      <c r="X4" s="2230"/>
      <c r="Y4" s="2230"/>
      <c r="Z4" s="2230"/>
      <c r="AA4" s="2230"/>
      <c r="AB4" s="2230"/>
      <c r="AC4" s="2231"/>
      <c r="AD4" s="2229" t="e">
        <f>INDEX(PT_DIFFERENTIATION_CS,MATCH(C4,PT_DIFFERENTIATION_CS_ID,0))</f>
        <v>#N/A</v>
      </c>
      <c r="AE4" s="2230"/>
      <c r="AF4" s="2230"/>
      <c r="AG4" s="2230"/>
      <c r="AH4" s="2230"/>
      <c r="AI4" s="2230"/>
      <c r="AJ4" s="2230"/>
      <c r="AK4" s="2230"/>
      <c r="AL4" s="2231"/>
      <c r="AM4" s="1140" t="s">
        <v>1464</v>
      </c>
      <c r="AO4" s="428"/>
      <c r="AP4" s="428" t="str">
        <f t="shared" si="0"/>
        <v xml:space="preserve">Наименование системы теплоснабжения </v>
      </c>
      <c r="AQ4" s="428"/>
      <c r="AR4" s="428"/>
    </row>
    <row r="5" spans="1:44" ht="21" hidden="1" customHeight="1">
      <c r="A5" s="1244"/>
      <c r="B5" s="1244"/>
      <c r="C5" s="1244"/>
      <c r="D5" s="1244"/>
      <c r="E5" s="2236"/>
      <c r="F5" s="2236"/>
      <c r="G5" s="2236"/>
      <c r="H5" s="2235">
        <v>1</v>
      </c>
      <c r="I5" s="1244"/>
      <c r="J5" s="1244"/>
      <c r="K5" s="1244"/>
      <c r="L5" s="1245"/>
      <c r="M5" s="1246"/>
      <c r="N5" s="1246"/>
      <c r="O5" s="1246"/>
      <c r="P5" s="278"/>
      <c r="Q5" s="276"/>
      <c r="R5" s="277"/>
      <c r="S5" s="1221" t="e">
        <f>INDEX(PT_DIFFERENTIATION_NUM_IST_TE,MATCH(D5,PT_DIFFERENTIATION_IST_TE_ID,0))</f>
        <v>#N/A</v>
      </c>
      <c r="T5" s="230" t="s">
        <v>1465</v>
      </c>
      <c r="U5" s="218"/>
      <c r="V5" s="2229"/>
      <c r="W5" s="2230"/>
      <c r="X5" s="2230"/>
      <c r="Y5" s="2230"/>
      <c r="Z5" s="2230"/>
      <c r="AA5" s="2230"/>
      <c r="AB5" s="2230"/>
      <c r="AC5" s="2231"/>
      <c r="AD5" s="2229" t="e">
        <f>INDEX(PT_DIFFERENTIATION_IST_TE,MATCH(D5,PT_DIFFERENTIATION_IST_TE_ID,0))</f>
        <v>#N/A</v>
      </c>
      <c r="AE5" s="2230"/>
      <c r="AF5" s="2230"/>
      <c r="AG5" s="2230"/>
      <c r="AH5" s="2230"/>
      <c r="AI5" s="2230"/>
      <c r="AJ5" s="2230"/>
      <c r="AK5" s="2230"/>
      <c r="AL5" s="2231"/>
      <c r="AM5" s="1140" t="s">
        <v>1466</v>
      </c>
      <c r="AO5" s="428"/>
      <c r="AP5" s="428" t="str">
        <f t="shared" si="0"/>
        <v xml:space="preserve">Источник тепловой энергии  </v>
      </c>
      <c r="AQ5" s="428"/>
      <c r="AR5" s="428"/>
    </row>
    <row r="6" spans="1:44" ht="47.25" hidden="1" customHeight="1">
      <c r="A6" s="1244"/>
      <c r="B6" s="1244"/>
      <c r="C6" s="1244"/>
      <c r="D6" s="1244"/>
      <c r="E6" s="2236"/>
      <c r="F6" s="2236"/>
      <c r="G6" s="2236"/>
      <c r="H6" s="2236"/>
      <c r="I6" s="2237" t="e">
        <f>S5&amp;".1"</f>
        <v>#N/A</v>
      </c>
      <c r="J6" s="1244"/>
      <c r="K6" s="1244"/>
      <c r="L6" s="1245" t="s">
        <v>1467</v>
      </c>
      <c r="M6" s="464"/>
      <c r="P6" s="2157">
        <v>1</v>
      </c>
      <c r="Q6" s="1216"/>
      <c r="R6" s="280"/>
      <c r="S6" s="1221" t="e">
        <f>$I6</f>
        <v>#N/A</v>
      </c>
      <c r="T6" s="203" t="s">
        <v>1468</v>
      </c>
      <c r="U6" s="218"/>
      <c r="V6" s="2224"/>
      <c r="W6" s="2225"/>
      <c r="X6" s="2225"/>
      <c r="Y6" s="2225"/>
      <c r="Z6" s="2225"/>
      <c r="AA6" s="2225"/>
      <c r="AB6" s="2225"/>
      <c r="AC6" s="2226"/>
      <c r="AD6" s="2224"/>
      <c r="AE6" s="2225"/>
      <c r="AF6" s="2225"/>
      <c r="AG6" s="2225"/>
      <c r="AH6" s="2225"/>
      <c r="AI6" s="2225"/>
      <c r="AJ6" s="2225"/>
      <c r="AK6" s="2225"/>
      <c r="AL6" s="2226"/>
      <c r="AM6" s="1140" t="s">
        <v>1469</v>
      </c>
      <c r="AO6" s="428"/>
      <c r="AP6" s="428" t="str">
        <f t="shared" si="0"/>
        <v>Схема подключения теплопотребляющей установки к коллектору источника тепловой энергии</v>
      </c>
      <c r="AQ6" s="428"/>
      <c r="AR6" s="428"/>
    </row>
    <row r="7" spans="1:44" ht="21" hidden="1" customHeight="1">
      <c r="A7" s="1244"/>
      <c r="B7" s="1244"/>
      <c r="C7" s="1244"/>
      <c r="D7" s="1244"/>
      <c r="E7" s="2236"/>
      <c r="F7" s="2236"/>
      <c r="G7" s="2236"/>
      <c r="H7" s="2236"/>
      <c r="I7" s="2238"/>
      <c r="J7" s="2237" t="e">
        <f>I6&amp;".1"</f>
        <v>#N/A</v>
      </c>
      <c r="K7" s="1244"/>
      <c r="L7" s="1245" t="s">
        <v>1470</v>
      </c>
      <c r="M7" s="464"/>
      <c r="N7" s="1247"/>
      <c r="P7" s="2157"/>
      <c r="Q7" s="2157">
        <v>1</v>
      </c>
      <c r="R7" s="281"/>
      <c r="S7" s="1221" t="e">
        <f>$J7</f>
        <v>#N/A</v>
      </c>
      <c r="T7" s="204" t="s">
        <v>1471</v>
      </c>
      <c r="U7" s="218"/>
      <c r="V7" s="2224"/>
      <c r="W7" s="2225"/>
      <c r="X7" s="2225"/>
      <c r="Y7" s="2225"/>
      <c r="Z7" s="2225"/>
      <c r="AA7" s="2225"/>
      <c r="AB7" s="2225"/>
      <c r="AC7" s="2226"/>
      <c r="AD7" s="2224"/>
      <c r="AE7" s="2225"/>
      <c r="AF7" s="2225"/>
      <c r="AG7" s="2225"/>
      <c r="AH7" s="2225"/>
      <c r="AI7" s="2225"/>
      <c r="AJ7" s="2225"/>
      <c r="AK7" s="2225"/>
      <c r="AL7" s="2226"/>
      <c r="AM7" s="1140" t="s">
        <v>1472</v>
      </c>
      <c r="AO7" s="428"/>
      <c r="AP7" s="428" t="str">
        <f t="shared" si="0"/>
        <v>Группа потребителей</v>
      </c>
      <c r="AQ7" s="428"/>
      <c r="AR7" s="428"/>
    </row>
    <row r="8" spans="1:44" ht="21" hidden="1" customHeight="1">
      <c r="A8" s="1244"/>
      <c r="B8" s="1244"/>
      <c r="C8" s="1244"/>
      <c r="D8" s="1244"/>
      <c r="E8" s="2236"/>
      <c r="F8" s="2236"/>
      <c r="G8" s="2236"/>
      <c r="H8" s="2236"/>
      <c r="I8" s="2238"/>
      <c r="J8" s="2238"/>
      <c r="K8" s="2237" t="e">
        <f>J7&amp;".1"</f>
        <v>#N/A</v>
      </c>
      <c r="L8" s="1245" t="s">
        <v>1473</v>
      </c>
      <c r="M8" s="464"/>
      <c r="N8" s="1247"/>
      <c r="O8" s="1247"/>
      <c r="P8" s="2157"/>
      <c r="Q8" s="2157"/>
      <c r="R8" s="281">
        <v>1</v>
      </c>
      <c r="S8" s="1221" t="e">
        <f>$K8</f>
        <v>#N/A</v>
      </c>
      <c r="T8" s="1232"/>
      <c r="U8" s="218"/>
      <c r="V8" s="1668"/>
      <c r="W8" s="1667"/>
      <c r="X8" s="1668"/>
      <c r="Y8" s="1678"/>
      <c r="Z8" s="2239"/>
      <c r="AA8" s="2031" t="s">
        <v>66</v>
      </c>
      <c r="AB8" s="2239"/>
      <c r="AC8" s="2031" t="s">
        <v>66</v>
      </c>
      <c r="AD8" s="1668"/>
      <c r="AE8" s="1667"/>
      <c r="AF8" s="1668"/>
      <c r="AG8" s="1678"/>
      <c r="AH8" s="2239"/>
      <c r="AI8" s="2031" t="s">
        <v>66</v>
      </c>
      <c r="AJ8" s="2239"/>
      <c r="AK8" s="2031" t="s">
        <v>66</v>
      </c>
      <c r="AL8" s="1668"/>
      <c r="AM8" s="2257" t="s">
        <v>1474</v>
      </c>
      <c r="AN8" s="439" t="e">
        <f ca="1">STRCHECKDATE(V9:AL9)</f>
        <v>#NAME?</v>
      </c>
      <c r="AO8" s="428"/>
      <c r="AP8" s="428" t="str">
        <f t="shared" si="0"/>
        <v/>
      </c>
      <c r="AQ8" s="428"/>
      <c r="AR8" s="428"/>
    </row>
    <row r="9" spans="1:44" ht="0.75" hidden="1" customHeight="1">
      <c r="A9" s="1244"/>
      <c r="B9" s="1244"/>
      <c r="C9" s="1244"/>
      <c r="D9" s="1244"/>
      <c r="E9" s="2236"/>
      <c r="F9" s="2236"/>
      <c r="G9" s="2236"/>
      <c r="H9" s="2236"/>
      <c r="I9" s="2238"/>
      <c r="J9" s="2238"/>
      <c r="K9" s="2237"/>
      <c r="L9" s="1245"/>
      <c r="M9" s="464"/>
      <c r="N9" s="1247"/>
      <c r="O9" s="1247"/>
      <c r="P9" s="2157"/>
      <c r="Q9" s="2157"/>
      <c r="R9" s="281"/>
      <c r="S9" s="1227"/>
      <c r="T9" s="218"/>
      <c r="U9" s="218"/>
      <c r="V9" s="1668"/>
      <c r="W9" s="1668"/>
      <c r="X9" s="1668"/>
      <c r="Y9" s="1670" t="str">
        <f>Z8&amp;"-"&amp;AB8</f>
        <v>-</v>
      </c>
      <c r="Z9" s="2240"/>
      <c r="AA9" s="2031"/>
      <c r="AB9" s="2240"/>
      <c r="AC9" s="2031"/>
      <c r="AD9" s="1668"/>
      <c r="AE9" s="1668"/>
      <c r="AF9" s="1668"/>
      <c r="AG9" s="1670" t="str">
        <f>AH8&amp;"-"&amp;AJ8</f>
        <v>-</v>
      </c>
      <c r="AH9" s="2240"/>
      <c r="AI9" s="2031"/>
      <c r="AJ9" s="2240"/>
      <c r="AK9" s="2031"/>
      <c r="AL9" s="1668"/>
      <c r="AM9" s="2258"/>
      <c r="AO9" s="428"/>
      <c r="AP9" s="428" t="str">
        <f t="shared" si="0"/>
        <v/>
      </c>
      <c r="AQ9" s="428"/>
      <c r="AR9" s="428"/>
    </row>
    <row r="10" spans="1:44" ht="15" hidden="1" customHeight="1">
      <c r="A10" s="1244"/>
      <c r="B10" s="1244"/>
      <c r="C10" s="1244"/>
      <c r="D10" s="1244"/>
      <c r="E10" s="2236"/>
      <c r="F10" s="2236"/>
      <c r="G10" s="2236"/>
      <c r="H10" s="2236"/>
      <c r="I10" s="2238"/>
      <c r="J10" s="2237"/>
      <c r="K10" s="1244"/>
      <c r="L10" s="1245"/>
      <c r="M10" s="464"/>
      <c r="N10" s="1247"/>
      <c r="P10" s="2157"/>
      <c r="Q10" s="2157"/>
      <c r="R10" s="280"/>
      <c r="S10" s="1161"/>
      <c r="T10" s="206" t="s">
        <v>1475</v>
      </c>
      <c r="U10" s="294"/>
      <c r="V10" s="294"/>
      <c r="W10" s="294"/>
      <c r="X10" s="294"/>
      <c r="Y10" s="294"/>
      <c r="Z10" s="294"/>
      <c r="AA10" s="294"/>
      <c r="AB10" s="294"/>
      <c r="AC10" s="294"/>
      <c r="AD10" s="294"/>
      <c r="AE10" s="294"/>
      <c r="AF10" s="294"/>
      <c r="AG10" s="294"/>
      <c r="AH10" s="294"/>
      <c r="AI10" s="294"/>
      <c r="AJ10" s="294"/>
      <c r="AK10" s="294"/>
      <c r="AL10" s="251"/>
      <c r="AM10" s="2259"/>
      <c r="AO10" s="428"/>
      <c r="AP10" s="428" t="str">
        <f t="shared" si="0"/>
        <v>Добавить вид теплоносителя (параметры теплоносителя)</v>
      </c>
      <c r="AQ10" s="428"/>
      <c r="AR10" s="428"/>
    </row>
    <row r="11" spans="1:44" ht="15" hidden="1" customHeight="1">
      <c r="A11" s="1244"/>
      <c r="B11" s="1244"/>
      <c r="C11" s="1244"/>
      <c r="D11" s="1244"/>
      <c r="E11" s="2236"/>
      <c r="F11" s="2236"/>
      <c r="G11" s="2236"/>
      <c r="H11" s="2236"/>
      <c r="I11" s="2237"/>
      <c r="J11" s="1244"/>
      <c r="K11" s="1244"/>
      <c r="L11" s="1245"/>
      <c r="M11" s="464"/>
      <c r="P11" s="2157"/>
      <c r="Q11" s="1216"/>
      <c r="R11" s="280"/>
      <c r="S11" s="1161"/>
      <c r="T11" s="205" t="s">
        <v>1476</v>
      </c>
      <c r="U11" s="294"/>
      <c r="V11" s="294"/>
      <c r="W11" s="294"/>
      <c r="X11" s="294"/>
      <c r="Y11" s="294"/>
      <c r="Z11" s="294"/>
      <c r="AA11" s="294"/>
      <c r="AB11" s="294"/>
      <c r="AC11" s="293"/>
      <c r="AD11" s="294"/>
      <c r="AE11" s="294"/>
      <c r="AF11" s="294"/>
      <c r="AG11" s="294"/>
      <c r="AH11" s="294"/>
      <c r="AI11" s="294"/>
      <c r="AJ11" s="294"/>
      <c r="AK11" s="293"/>
      <c r="AL11" s="294"/>
      <c r="AM11" s="221"/>
      <c r="AO11" s="428"/>
      <c r="AP11" s="428" t="str">
        <f t="shared" si="0"/>
        <v>Добавить группу потребителей</v>
      </c>
      <c r="AQ11" s="428"/>
      <c r="AR11" s="428"/>
    </row>
    <row r="12" spans="1:44" ht="14.25" hidden="1" customHeight="1">
      <c r="A12" s="1244"/>
      <c r="B12" s="1244"/>
      <c r="C12" s="1244"/>
      <c r="D12" s="1244"/>
      <c r="E12" s="2236"/>
      <c r="F12" s="2236"/>
      <c r="G12" s="2236"/>
      <c r="H12" s="2235"/>
      <c r="I12" s="1244"/>
      <c r="J12" s="1244"/>
      <c r="K12" s="1244"/>
      <c r="L12" s="1245"/>
      <c r="M12" s="1246"/>
      <c r="N12" s="1246"/>
      <c r="O12" s="464"/>
      <c r="P12" s="284"/>
      <c r="Q12" s="303"/>
      <c r="R12" s="279"/>
      <c r="S12" s="1161"/>
      <c r="T12" s="291" t="s">
        <v>1477</v>
      </c>
      <c r="U12" s="294"/>
      <c r="V12" s="294"/>
      <c r="W12" s="294"/>
      <c r="X12" s="294"/>
      <c r="Y12" s="294"/>
      <c r="Z12" s="294"/>
      <c r="AA12" s="294"/>
      <c r="AB12" s="294"/>
      <c r="AC12" s="293"/>
      <c r="AD12" s="294"/>
      <c r="AE12" s="294"/>
      <c r="AF12" s="294"/>
      <c r="AG12" s="294"/>
      <c r="AH12" s="294"/>
      <c r="AI12" s="294"/>
      <c r="AJ12" s="294"/>
      <c r="AK12" s="293"/>
      <c r="AL12" s="294"/>
      <c r="AM12" s="221"/>
      <c r="AO12" s="428"/>
      <c r="AP12" s="428" t="str">
        <f t="shared" si="0"/>
        <v>Добавить схему подключения</v>
      </c>
      <c r="AQ12" s="428"/>
      <c r="AR12" s="428"/>
    </row>
    <row r="13" spans="1:44" s="1772" customFormat="1" ht="0.75" hidden="1" customHeight="1">
      <c r="A13" s="1200"/>
      <c r="B13" s="1200"/>
      <c r="C13" s="1200"/>
      <c r="D13" s="1200"/>
      <c r="E13" s="2236"/>
      <c r="F13" s="2236"/>
      <c r="G13" s="2235"/>
      <c r="H13" s="1200"/>
      <c r="I13" s="1200"/>
      <c r="J13" s="1200"/>
      <c r="K13" s="1200"/>
      <c r="L13" s="1224"/>
      <c r="M13" s="1201"/>
      <c r="N13" s="1201"/>
      <c r="P13" s="1202"/>
      <c r="Q13" s="1203"/>
      <c r="R13" s="1202"/>
      <c r="S13" s="1204"/>
      <c r="T13" s="1205" t="s">
        <v>1436</v>
      </c>
      <c r="U13" s="1206"/>
      <c r="V13" s="1206"/>
      <c r="W13" s="1206"/>
      <c r="X13" s="1206"/>
      <c r="Y13" s="1206"/>
      <c r="Z13" s="1206"/>
      <c r="AA13" s="1206"/>
      <c r="AB13" s="1206"/>
      <c r="AC13" s="1206"/>
      <c r="AD13" s="1206"/>
      <c r="AE13" s="1206"/>
      <c r="AF13" s="1206"/>
      <c r="AG13" s="1206"/>
      <c r="AH13" s="1206"/>
      <c r="AI13" s="1206"/>
      <c r="AJ13" s="1206"/>
      <c r="AK13" s="1206"/>
      <c r="AL13" s="1206"/>
      <c r="AM13" s="1206"/>
      <c r="AO13" s="696"/>
      <c r="AP13" s="696" t="str">
        <f t="shared" si="0"/>
        <v>Добавить источник для дифференциации</v>
      </c>
      <c r="AQ13" s="696"/>
      <c r="AR13" s="696"/>
    </row>
    <row r="14" spans="1:44" s="1772" customFormat="1" ht="0.75" hidden="1" customHeight="1">
      <c r="A14" s="1200"/>
      <c r="B14" s="1200"/>
      <c r="C14" s="1200"/>
      <c r="D14" s="1200"/>
      <c r="E14" s="2236"/>
      <c r="F14" s="2235"/>
      <c r="G14" s="1200"/>
      <c r="H14" s="1200"/>
      <c r="I14" s="1200"/>
      <c r="J14" s="1200"/>
      <c r="K14" s="1200"/>
      <c r="L14" s="1224"/>
      <c r="M14" s="1207"/>
      <c r="N14" s="1207"/>
      <c r="P14" s="1202"/>
      <c r="Q14" s="1203"/>
      <c r="R14" s="1202"/>
      <c r="S14" s="1208"/>
      <c r="T14" s="1209" t="s">
        <v>1437</v>
      </c>
      <c r="U14" s="1210"/>
      <c r="V14" s="1210"/>
      <c r="W14" s="1210"/>
      <c r="X14" s="1210"/>
      <c r="Y14" s="1210"/>
      <c r="Z14" s="1210"/>
      <c r="AA14" s="1210"/>
      <c r="AB14" s="1210"/>
      <c r="AC14" s="1210"/>
      <c r="AD14" s="1210"/>
      <c r="AE14" s="1210"/>
      <c r="AF14" s="1210"/>
      <c r="AG14" s="1210"/>
      <c r="AH14" s="1210"/>
      <c r="AI14" s="1210"/>
      <c r="AJ14" s="1210"/>
      <c r="AK14" s="1210"/>
      <c r="AL14" s="1210"/>
      <c r="AM14" s="1210"/>
      <c r="AO14" s="696"/>
      <c r="AP14" s="696" t="str">
        <f t="shared" si="0"/>
        <v>Добавить централизованную систему для дифференциации</v>
      </c>
      <c r="AQ14" s="696"/>
      <c r="AR14" s="696"/>
    </row>
    <row r="15" spans="1:44" s="1772" customFormat="1" ht="0.75" hidden="1" customHeight="1">
      <c r="A15" s="1200"/>
      <c r="B15" s="1200"/>
      <c r="C15" s="1200"/>
      <c r="D15" s="1200"/>
      <c r="E15" s="2235"/>
      <c r="F15" s="1200"/>
      <c r="G15" s="1200"/>
      <c r="H15" s="1200"/>
      <c r="I15" s="1200"/>
      <c r="J15" s="1200"/>
      <c r="K15" s="1200"/>
      <c r="L15" s="1224"/>
      <c r="M15" s="1207"/>
      <c r="N15" s="1207"/>
      <c r="P15" s="1202"/>
      <c r="Q15" s="1203"/>
      <c r="R15" s="1202"/>
      <c r="S15" s="1208"/>
      <c r="T15" s="1211" t="s">
        <v>1438</v>
      </c>
      <c r="U15" s="1210"/>
      <c r="V15" s="1210"/>
      <c r="W15" s="1210"/>
      <c r="X15" s="1210"/>
      <c r="Y15" s="1210"/>
      <c r="Z15" s="1210"/>
      <c r="AA15" s="1210"/>
      <c r="AB15" s="1210"/>
      <c r="AC15" s="1210"/>
      <c r="AD15" s="1210"/>
      <c r="AE15" s="1210"/>
      <c r="AF15" s="1210"/>
      <c r="AG15" s="1210"/>
      <c r="AH15" s="1210"/>
      <c r="AI15" s="1210"/>
      <c r="AJ15" s="1210"/>
      <c r="AK15" s="1210"/>
      <c r="AL15" s="1210"/>
      <c r="AM15" s="1210"/>
      <c r="AO15" s="696"/>
      <c r="AP15" s="696" t="str">
        <f t="shared" si="0"/>
        <v>Добавить территорию для дифференциации</v>
      </c>
      <c r="AQ15" s="696"/>
      <c r="AR15" s="696"/>
    </row>
    <row r="16" spans="1:44" ht="14.25" hidden="1" customHeight="1">
      <c r="AC16" s="254"/>
      <c r="AK16" s="254"/>
    </row>
    <row r="17" spans="1:44" ht="14.25" hidden="1" customHeight="1">
      <c r="AD17" s="1671"/>
      <c r="AE17" s="1671"/>
      <c r="AF17" s="1671"/>
      <c r="AG17" s="1672"/>
      <c r="AH17" s="2233"/>
      <c r="AI17" s="2232" t="s">
        <v>66</v>
      </c>
      <c r="AJ17" s="2233"/>
      <c r="AK17" s="2232" t="s">
        <v>66</v>
      </c>
    </row>
    <row r="18" spans="1:44" ht="14.25" hidden="1" customHeight="1">
      <c r="AD18" s="1671"/>
      <c r="AE18" s="1671"/>
      <c r="AF18" s="1671"/>
      <c r="AG18" s="1670" t="str">
        <f>AH17&amp;"-"&amp;AJ17</f>
        <v>-</v>
      </c>
      <c r="AH18" s="2232"/>
      <c r="AI18" s="2232"/>
      <c r="AJ18" s="2232"/>
      <c r="AK18" s="2232"/>
    </row>
    <row r="19" spans="1:44" ht="14.25" hidden="1" customHeight="1">
      <c r="AK19" s="254"/>
    </row>
    <row r="20" spans="1:44" s="1759" customFormat="1" ht="22.5" hidden="1" customHeight="1">
      <c r="L20" s="1214"/>
      <c r="M20" s="1243"/>
      <c r="N20" s="1243"/>
      <c r="O20" s="1248" t="s">
        <v>1478</v>
      </c>
      <c r="P20" s="1243"/>
      <c r="Q20" s="1252"/>
      <c r="R20" s="1252"/>
      <c r="S20" s="644"/>
      <c r="Z20" s="1248"/>
      <c r="AB20" s="1248"/>
      <c r="AC20" s="1247"/>
      <c r="AH20" s="1248"/>
      <c r="AJ20" s="1248"/>
      <c r="AK20" s="1247"/>
      <c r="AN20" s="439"/>
      <c r="AO20" s="439"/>
      <c r="AP20" s="439"/>
      <c r="AQ20" s="439"/>
      <c r="AR20" s="439"/>
    </row>
    <row r="21" spans="1:44" s="1759" customFormat="1" ht="14.25" hidden="1" customHeight="1">
      <c r="L21" s="1214"/>
      <c r="M21" s="1243"/>
      <c r="N21" s="1243"/>
      <c r="O21" s="1243"/>
      <c r="P21" s="1243"/>
      <c r="Q21" s="1252"/>
      <c r="R21" s="1252"/>
      <c r="S21" s="644"/>
      <c r="AC21" s="1247"/>
      <c r="AK21" s="1247"/>
      <c r="AN21" s="439"/>
      <c r="AO21" s="439"/>
      <c r="AP21" s="439"/>
      <c r="AQ21" s="439"/>
      <c r="AR21" s="439"/>
    </row>
    <row r="22" spans="1:44" s="1759" customFormat="1" ht="33.75" hidden="1" customHeight="1">
      <c r="L22" s="1214"/>
      <c r="M22" s="1243"/>
      <c r="N22" s="1243"/>
      <c r="O22" s="1245" t="s">
        <v>1479</v>
      </c>
      <c r="P22" s="1243"/>
      <c r="Q22" s="1252"/>
      <c r="R22" s="1252"/>
      <c r="S22" s="644"/>
      <c r="T22" s="1036" t="s">
        <v>1480</v>
      </c>
      <c r="AA22" s="111" t="s">
        <v>1481</v>
      </c>
      <c r="AC22" s="111" t="s">
        <v>1482</v>
      </c>
      <c r="AD22" s="1036" t="s">
        <v>1480</v>
      </c>
      <c r="AI22" s="111" t="s">
        <v>1483</v>
      </c>
      <c r="AK22" s="111" t="s">
        <v>1482</v>
      </c>
      <c r="AN22" s="439"/>
      <c r="AO22" s="439"/>
      <c r="AP22" s="439"/>
      <c r="AQ22" s="439"/>
      <c r="AR22" s="439"/>
    </row>
    <row r="23" spans="1:44" ht="14.25" hidden="1" customHeight="1">
      <c r="O23" s="1245"/>
    </row>
    <row r="24" spans="1:44" ht="14.25" hidden="1" customHeight="1">
      <c r="O24" s="1245"/>
    </row>
    <row r="25" spans="1:44" ht="14.25" customHeight="1">
      <c r="Q25" s="304"/>
      <c r="R25" s="304"/>
      <c r="S25" s="1158"/>
      <c r="T25" s="289"/>
      <c r="U25" s="289"/>
      <c r="V25" s="437"/>
      <c r="W25" s="437"/>
      <c r="X25" s="437"/>
      <c r="Y25" s="437"/>
      <c r="Z25" s="437"/>
      <c r="AA25" s="437"/>
      <c r="AB25" s="437"/>
      <c r="AC25" s="437"/>
      <c r="AD25" s="437"/>
      <c r="AE25" s="437"/>
      <c r="AF25" s="437"/>
      <c r="AG25" s="437"/>
      <c r="AH25" s="437"/>
      <c r="AI25" s="437"/>
      <c r="AJ25" s="437"/>
      <c r="AK25" s="437"/>
    </row>
    <row r="26" spans="1:44" ht="88.5" customHeight="1">
      <c r="Q26" s="304"/>
      <c r="R26" s="304"/>
      <c r="S26" s="2079" t="str">
        <f>IF(TEMPLATE_GROUP="P",PT_P_FORM_HEAT_4_NAME_FORM,PT_R_FORM_HEAT_21_NAME_FORM)</f>
        <v>Форма 21. Информация о расчетной величине тарифов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тарифов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v>
      </c>
      <c r="T26" s="2079"/>
      <c r="U26" s="2079"/>
      <c r="V26" s="2079"/>
      <c r="W26" s="2079"/>
      <c r="X26" s="2079"/>
      <c r="Y26" s="2079"/>
      <c r="Z26" s="2079"/>
      <c r="AA26" s="2079"/>
      <c r="AB26" s="2079"/>
      <c r="AC26" s="2079"/>
      <c r="AD26" s="2079"/>
      <c r="AE26" s="2079"/>
      <c r="AF26" s="2079"/>
      <c r="AG26" s="2079"/>
      <c r="AH26" s="2079"/>
      <c r="AI26" s="2079"/>
      <c r="AJ26" s="2079"/>
      <c r="AK26" s="1116"/>
    </row>
    <row r="27" spans="1:44" ht="14.25" customHeight="1">
      <c r="Q27" s="304"/>
      <c r="R27" s="304"/>
      <c r="S27" s="2102" t="str">
        <f>IF(org=0,"Не определено",org)</f>
        <v>ООО "Автозаводская ТЭЦ"</v>
      </c>
      <c r="T27" s="2102"/>
      <c r="U27" s="2102"/>
      <c r="V27" s="2102"/>
      <c r="W27" s="2102"/>
      <c r="X27" s="2102"/>
      <c r="Y27" s="2102"/>
      <c r="Z27" s="2102"/>
      <c r="AA27" s="2102"/>
      <c r="AB27" s="2102"/>
      <c r="AC27" s="2102"/>
      <c r="AD27" s="2102"/>
      <c r="AE27" s="2102"/>
      <c r="AF27" s="2102"/>
      <c r="AG27" s="2102"/>
      <c r="AH27" s="2102"/>
      <c r="AI27" s="2102"/>
      <c r="AJ27" s="2102"/>
      <c r="AK27" s="1116"/>
    </row>
    <row r="28" spans="1:44" ht="14.25" hidden="1" customHeight="1">
      <c r="Q28" s="304"/>
      <c r="R28" s="304"/>
      <c r="S28" s="1158"/>
      <c r="T28" s="289"/>
      <c r="U28" s="289"/>
      <c r="V28" s="248"/>
      <c r="W28" s="248"/>
      <c r="X28" s="248"/>
      <c r="Y28" s="248"/>
      <c r="Z28" s="248"/>
      <c r="AA28" s="248"/>
      <c r="AB28" s="248"/>
      <c r="AC28" s="248"/>
      <c r="AD28" s="248"/>
      <c r="AE28" s="248"/>
      <c r="AF28" s="248"/>
      <c r="AG28" s="248"/>
      <c r="AH28" s="248"/>
      <c r="AI28" s="248"/>
      <c r="AJ28" s="248"/>
      <c r="AK28" s="248"/>
      <c r="AL28" s="437"/>
    </row>
    <row r="29" spans="1:44" s="1950" customFormat="1" ht="25.5" hidden="1" customHeight="1">
      <c r="A29" s="1249"/>
      <c r="B29" s="1249"/>
      <c r="C29" s="1249"/>
      <c r="D29" s="1249"/>
      <c r="E29" s="1249"/>
      <c r="F29" s="1249"/>
      <c r="G29" s="1249"/>
      <c r="H29" s="1249"/>
      <c r="I29" s="1249"/>
      <c r="J29" s="1249"/>
      <c r="K29" s="1249"/>
      <c r="L29" s="1250"/>
      <c r="M29" s="1249"/>
      <c r="N29" s="1249"/>
      <c r="O29" s="1249"/>
      <c r="S29" s="2227" t="s">
        <v>38</v>
      </c>
      <c r="T29" s="2227"/>
      <c r="U29" s="1253"/>
      <c r="V29" s="2228" t="str">
        <f>IF(TITLE_NAME_OR_PR_CHANGE="",IF(TITLE_NAME_OR_PR="","",TITLE_NAME_OR_PR),TITLE_NAME_OR_PR_CHANGE)</f>
        <v/>
      </c>
      <c r="W29" s="2228"/>
      <c r="X29" s="2228"/>
      <c r="Y29" s="2228"/>
      <c r="Z29" s="2228"/>
      <c r="AA29" s="2228"/>
      <c r="AB29" s="2228"/>
      <c r="AC29" s="253"/>
      <c r="AD29" s="2228" t="str">
        <f>IF(TITLE_NAME_OR_PR_CHANGE="",IF(TITLE_NAME_OR_PR="","",TITLE_NAME_OR_PR),TITLE_NAME_OR_PR_CHANGE)</f>
        <v/>
      </c>
      <c r="AE29" s="2228"/>
      <c r="AF29" s="2228"/>
      <c r="AG29" s="2228"/>
      <c r="AH29" s="2228"/>
      <c r="AI29" s="2228"/>
      <c r="AJ29" s="2228"/>
      <c r="AK29" s="253"/>
      <c r="AL29" s="253"/>
      <c r="AM29" s="199"/>
      <c r="AN29" s="295"/>
      <c r="AO29" s="295"/>
      <c r="AP29" s="295"/>
      <c r="AQ29" s="295"/>
      <c r="AR29" s="295"/>
    </row>
    <row r="30" spans="1:44" s="1950" customFormat="1" ht="18.75" hidden="1" customHeight="1">
      <c r="A30" s="1249"/>
      <c r="B30" s="1249"/>
      <c r="C30" s="1249"/>
      <c r="D30" s="1249"/>
      <c r="E30" s="1249"/>
      <c r="F30" s="1249"/>
      <c r="G30" s="1249"/>
      <c r="H30" s="1249"/>
      <c r="I30" s="1249"/>
      <c r="J30" s="1249"/>
      <c r="K30" s="1249"/>
      <c r="L30" s="1250"/>
      <c r="M30" s="1249"/>
      <c r="N30" s="1249"/>
      <c r="O30" s="1249"/>
      <c r="S30" s="2227" t="s">
        <v>1484</v>
      </c>
      <c r="T30" s="2227"/>
      <c r="U30" s="1253"/>
      <c r="V30" s="2228" t="str">
        <f>IF(TITLE_DATE_CHANGE_PERIOD="",IF(TITLE_DATE_PR="","",TITLE_DATE_PR),TITLE_DATE_CHANGE_PERIOD)</f>
        <v/>
      </c>
      <c r="W30" s="2228"/>
      <c r="X30" s="2228"/>
      <c r="Y30" s="2228"/>
      <c r="Z30" s="2228"/>
      <c r="AA30" s="2228"/>
      <c r="AB30" s="2228"/>
      <c r="AC30" s="253"/>
      <c r="AD30" s="2228" t="str">
        <f>IF(TITLE_DATE_CHANGE_PERIOD="",IF(TITLE_DATE_PR="","",TITLE_DATE_PR),TITLE_DATE_CHANGE_PERIOD)</f>
        <v/>
      </c>
      <c r="AE30" s="2228"/>
      <c r="AF30" s="2228"/>
      <c r="AG30" s="2228"/>
      <c r="AH30" s="2228"/>
      <c r="AI30" s="2228"/>
      <c r="AJ30" s="2228"/>
      <c r="AK30" s="253"/>
      <c r="AL30" s="253"/>
      <c r="AM30" s="199"/>
      <c r="AN30" s="295"/>
      <c r="AO30" s="295"/>
      <c r="AP30" s="295"/>
      <c r="AQ30" s="295"/>
      <c r="AR30" s="295"/>
    </row>
    <row r="31" spans="1:44" s="1950" customFormat="1" ht="18.75" hidden="1" customHeight="1">
      <c r="A31" s="1249"/>
      <c r="B31" s="1249"/>
      <c r="C31" s="1249"/>
      <c r="D31" s="1249"/>
      <c r="E31" s="1249"/>
      <c r="F31" s="1249"/>
      <c r="G31" s="1249"/>
      <c r="H31" s="1249"/>
      <c r="I31" s="1249"/>
      <c r="J31" s="1249"/>
      <c r="K31" s="1249"/>
      <c r="L31" s="1250"/>
      <c r="M31" s="1249"/>
      <c r="N31" s="1249"/>
      <c r="O31" s="1249"/>
      <c r="S31" s="2227" t="s">
        <v>1485</v>
      </c>
      <c r="T31" s="2227"/>
      <c r="U31" s="1253"/>
      <c r="V31" s="2228" t="str">
        <f>IF(TITLE_NUMBER_PR_CHANGE="",IF(TITLE_NUMBER_PR="","",TITLE_NUMBER_PR),TITLE_NUMBER_PR_CHANGE)</f>
        <v/>
      </c>
      <c r="W31" s="2228"/>
      <c r="X31" s="2228"/>
      <c r="Y31" s="2228"/>
      <c r="Z31" s="2228"/>
      <c r="AA31" s="2228"/>
      <c r="AB31" s="2228"/>
      <c r="AC31" s="253"/>
      <c r="AD31" s="2228" t="str">
        <f>IF(TITLE_NUMBER_PR_CHANGE="",IF(TITLE_NUMBER_PR="","",TITLE_NUMBER_PR),TITLE_NUMBER_PR_CHANGE)</f>
        <v/>
      </c>
      <c r="AE31" s="2228"/>
      <c r="AF31" s="2228"/>
      <c r="AG31" s="2228"/>
      <c r="AH31" s="2228"/>
      <c r="AI31" s="2228"/>
      <c r="AJ31" s="2228"/>
      <c r="AK31" s="253"/>
      <c r="AL31" s="253"/>
      <c r="AM31" s="199"/>
      <c r="AN31" s="295"/>
      <c r="AO31" s="295"/>
      <c r="AP31" s="295"/>
      <c r="AQ31" s="295"/>
      <c r="AR31" s="295"/>
    </row>
    <row r="32" spans="1:44" s="1950" customFormat="1" ht="18.75" hidden="1" customHeight="1">
      <c r="A32" s="1249"/>
      <c r="B32" s="1249"/>
      <c r="C32" s="1249"/>
      <c r="D32" s="1249"/>
      <c r="E32" s="1249"/>
      <c r="F32" s="1249"/>
      <c r="G32" s="1249"/>
      <c r="H32" s="1249"/>
      <c r="I32" s="1249"/>
      <c r="J32" s="1249"/>
      <c r="K32" s="1249"/>
      <c r="L32" s="1250"/>
      <c r="M32" s="1249"/>
      <c r="N32" s="1249"/>
      <c r="O32" s="1249"/>
      <c r="S32" s="2227" t="s">
        <v>39</v>
      </c>
      <c r="T32" s="2227"/>
      <c r="U32" s="1253"/>
      <c r="V32" s="2228" t="str">
        <f>IF(TITLE_IST_PUB_CHANGE="",IF(TITLE_IST_PUB="","",TITLE_IST_PUB),TITLE_IST_PUB_CHANGE)</f>
        <v/>
      </c>
      <c r="W32" s="2228"/>
      <c r="X32" s="2228"/>
      <c r="Y32" s="2228"/>
      <c r="Z32" s="2228"/>
      <c r="AA32" s="2228"/>
      <c r="AB32" s="2228"/>
      <c r="AC32" s="253"/>
      <c r="AD32" s="2228" t="str">
        <f>IF(TITLE_IST_PUB_CHANGE="",IF(TITLE_IST_PUB="","",TITLE_IST_PUB),TITLE_IST_PUB_CHANGE)</f>
        <v/>
      </c>
      <c r="AE32" s="2228"/>
      <c r="AF32" s="2228"/>
      <c r="AG32" s="2228"/>
      <c r="AH32" s="2228"/>
      <c r="AI32" s="2228"/>
      <c r="AJ32" s="2228"/>
      <c r="AK32" s="253"/>
      <c r="AL32" s="253"/>
      <c r="AM32" s="199"/>
      <c r="AN32" s="295"/>
      <c r="AO32" s="295"/>
      <c r="AP32" s="295"/>
      <c r="AQ32" s="295"/>
      <c r="AR32" s="295"/>
    </row>
    <row r="33" spans="1:44" ht="14.25" hidden="1" customHeight="1">
      <c r="Q33" s="304"/>
      <c r="R33" s="304"/>
      <c r="S33" s="1158"/>
      <c r="T33" s="289"/>
      <c r="U33" s="289"/>
      <c r="V33" s="248"/>
      <c r="W33" s="248"/>
      <c r="X33" s="248"/>
      <c r="Y33" s="248"/>
      <c r="Z33" s="248"/>
      <c r="AA33" s="248"/>
      <c r="AB33" s="248"/>
      <c r="AC33" s="248"/>
      <c r="AD33" s="248"/>
      <c r="AE33" s="248"/>
      <c r="AF33" s="248"/>
      <c r="AG33" s="248"/>
      <c r="AH33" s="248"/>
      <c r="AI33" s="248"/>
      <c r="AJ33" s="248"/>
      <c r="AK33" s="248"/>
      <c r="AL33" s="437"/>
    </row>
    <row r="34" spans="1:44" s="1950" customFormat="1" ht="18.75" hidden="1" customHeight="1">
      <c r="A34" s="1249"/>
      <c r="B34" s="1249"/>
      <c r="C34" s="1249"/>
      <c r="D34" s="1249"/>
      <c r="E34" s="1249"/>
      <c r="F34" s="1249"/>
      <c r="G34" s="1249"/>
      <c r="H34" s="1249"/>
      <c r="I34" s="1249"/>
      <c r="J34" s="1249"/>
      <c r="K34" s="1249"/>
      <c r="L34" s="1250"/>
      <c r="M34" s="1249"/>
      <c r="N34" s="1249"/>
      <c r="O34" s="1249"/>
      <c r="S34" s="2227" t="s">
        <v>1486</v>
      </c>
      <c r="T34" s="2227"/>
      <c r="U34" s="1253"/>
      <c r="V34" s="2228" t="str">
        <f>IF(TITLE_DATE_CHANGE_PERIOD="",IF(TITLE_DATE_PR="","",TITLE_DATE_PR),TITLE_DATE_CHANGE_PERIOD)</f>
        <v/>
      </c>
      <c r="W34" s="2228"/>
      <c r="X34" s="2228"/>
      <c r="Y34" s="2228"/>
      <c r="Z34" s="2228"/>
      <c r="AA34" s="2228"/>
      <c r="AB34" s="2228"/>
      <c r="AC34" s="253"/>
      <c r="AD34" s="2228" t="str">
        <f>IF(TITLE_DATE_CHANGE_PERIOD="",IF(TITLE_DATE_PR="","",TITLE_DATE_PR),TITLE_DATE_CHANGE_PERIOD)</f>
        <v/>
      </c>
      <c r="AE34" s="2228"/>
      <c r="AF34" s="2228"/>
      <c r="AG34" s="2228"/>
      <c r="AH34" s="2228"/>
      <c r="AI34" s="2228"/>
      <c r="AJ34" s="2228"/>
      <c r="AK34" s="253"/>
      <c r="AL34" s="253"/>
      <c r="AM34" s="199"/>
      <c r="AN34" s="295"/>
      <c r="AO34" s="295"/>
      <c r="AP34" s="295"/>
      <c r="AQ34" s="295"/>
      <c r="AR34" s="295"/>
    </row>
    <row r="35" spans="1:44" s="1950" customFormat="1" ht="18.75" hidden="1" customHeight="1">
      <c r="A35" s="1249"/>
      <c r="B35" s="1249"/>
      <c r="C35" s="1249"/>
      <c r="D35" s="1249"/>
      <c r="E35" s="1249"/>
      <c r="F35" s="1249"/>
      <c r="G35" s="1249"/>
      <c r="H35" s="1249"/>
      <c r="I35" s="1249"/>
      <c r="J35" s="1249"/>
      <c r="K35" s="1249"/>
      <c r="L35" s="1250"/>
      <c r="M35" s="1249"/>
      <c r="N35" s="1249"/>
      <c r="O35" s="1249"/>
      <c r="S35" s="2227" t="s">
        <v>1487</v>
      </c>
      <c r="T35" s="2227"/>
      <c r="U35" s="1253"/>
      <c r="V35" s="2228" t="str">
        <f>IF(TITLE_NUMBER_PR_CHANGE="",IF(TITLE_NUMBER_PR="","",TITLE_NUMBER_PR),TITLE_NUMBER_PR_CHANGE)</f>
        <v/>
      </c>
      <c r="W35" s="2228"/>
      <c r="X35" s="2228"/>
      <c r="Y35" s="2228"/>
      <c r="Z35" s="2228"/>
      <c r="AA35" s="2228"/>
      <c r="AB35" s="2228"/>
      <c r="AC35" s="253"/>
      <c r="AD35" s="2228" t="str">
        <f>IF(TITLE_NUMBER_PR_CHANGE="",IF(TITLE_NUMBER_PR="","",TITLE_NUMBER_PR),TITLE_NUMBER_PR_CHANGE)</f>
        <v/>
      </c>
      <c r="AE35" s="2228"/>
      <c r="AF35" s="2228"/>
      <c r="AG35" s="2228"/>
      <c r="AH35" s="2228"/>
      <c r="AI35" s="2228"/>
      <c r="AJ35" s="2228"/>
      <c r="AK35" s="253"/>
      <c r="AL35" s="253"/>
      <c r="AM35" s="199"/>
      <c r="AN35" s="295"/>
      <c r="AO35" s="295"/>
      <c r="AP35" s="295"/>
      <c r="AQ35" s="295"/>
      <c r="AR35" s="295"/>
    </row>
    <row r="36" spans="1:44" s="1950" customFormat="1" ht="0" hidden="1" customHeight="1">
      <c r="A36" s="1249"/>
      <c r="B36" s="1249"/>
      <c r="C36" s="1249"/>
      <c r="D36" s="1249"/>
      <c r="E36" s="1249"/>
      <c r="F36" s="1249"/>
      <c r="G36" s="1249"/>
      <c r="H36" s="1249"/>
      <c r="I36" s="1249"/>
      <c r="J36" s="1249"/>
      <c r="K36" s="1249"/>
      <c r="L36" s="1250"/>
      <c r="M36" s="1249"/>
      <c r="N36" s="1249"/>
      <c r="O36" s="1249"/>
      <c r="S36" s="250"/>
      <c r="T36" s="250"/>
      <c r="U36" s="1225"/>
      <c r="V36" s="253"/>
      <c r="W36" s="253"/>
      <c r="X36" s="253"/>
      <c r="Y36" s="253"/>
      <c r="Z36" s="253"/>
      <c r="AA36" s="253"/>
      <c r="AB36" s="253"/>
      <c r="AC36" s="197" t="s">
        <v>1488</v>
      </c>
      <c r="AD36" s="253"/>
      <c r="AE36" s="253"/>
      <c r="AF36" s="253"/>
      <c r="AG36" s="253"/>
      <c r="AH36" s="253"/>
      <c r="AI36" s="253"/>
      <c r="AJ36" s="253"/>
      <c r="AK36" s="197" t="s">
        <v>1488</v>
      </c>
      <c r="AN36" s="295"/>
      <c r="AO36" s="295"/>
      <c r="AP36" s="295"/>
      <c r="AQ36" s="295"/>
      <c r="AR36" s="295"/>
    </row>
    <row r="37" spans="1:44" ht="14.25" customHeight="1">
      <c r="Q37" s="304"/>
      <c r="R37" s="304"/>
      <c r="S37" s="1158"/>
      <c r="T37" s="289"/>
      <c r="U37" s="1117"/>
      <c r="V37" s="2246"/>
      <c r="W37" s="2246"/>
      <c r="X37" s="2246"/>
      <c r="Y37" s="2246"/>
      <c r="Z37" s="2246"/>
      <c r="AA37" s="2246"/>
      <c r="AB37" s="2246"/>
      <c r="AC37" s="2246"/>
      <c r="AD37" s="2246"/>
      <c r="AE37" s="2246"/>
      <c r="AF37" s="2246"/>
      <c r="AG37" s="2246"/>
      <c r="AH37" s="2246"/>
      <c r="AI37" s="2246"/>
      <c r="AJ37" s="2246"/>
      <c r="AK37" s="2246"/>
    </row>
    <row r="38" spans="1:44" ht="14.25" customHeight="1">
      <c r="Q38" s="304"/>
      <c r="R38" s="304"/>
      <c r="S38" s="2021" t="s">
        <v>292</v>
      </c>
      <c r="T38" s="2021"/>
      <c r="U38" s="2021"/>
      <c r="V38" s="2021"/>
      <c r="W38" s="2021"/>
      <c r="X38" s="2021"/>
      <c r="Y38" s="2021"/>
      <c r="Z38" s="2021"/>
      <c r="AA38" s="2021"/>
      <c r="AB38" s="2021"/>
      <c r="AC38" s="2021"/>
      <c r="AD38" s="2021"/>
      <c r="AE38" s="2021"/>
      <c r="AF38" s="2021"/>
      <c r="AG38" s="2021"/>
      <c r="AH38" s="2021"/>
      <c r="AI38" s="2021"/>
      <c r="AJ38" s="2021"/>
      <c r="AK38" s="2021"/>
      <c r="AL38" s="2021"/>
      <c r="AM38" s="2021" t="s">
        <v>293</v>
      </c>
    </row>
    <row r="39" spans="1:44" ht="14.25" customHeight="1">
      <c r="Q39" s="304"/>
      <c r="R39" s="304"/>
      <c r="S39" s="2247" t="s">
        <v>88</v>
      </c>
      <c r="T39" s="2111" t="s">
        <v>1489</v>
      </c>
      <c r="U39" s="219"/>
      <c r="V39" s="2248" t="s">
        <v>1490</v>
      </c>
      <c r="W39" s="2249"/>
      <c r="X39" s="2262"/>
      <c r="Y39" s="2262"/>
      <c r="Z39" s="2249"/>
      <c r="AA39" s="2249"/>
      <c r="AB39" s="2250"/>
      <c r="AC39" s="2251" t="s">
        <v>1491</v>
      </c>
      <c r="AD39" s="2248" t="s">
        <v>1490</v>
      </c>
      <c r="AE39" s="2249"/>
      <c r="AF39" s="2262"/>
      <c r="AG39" s="2262"/>
      <c r="AH39" s="2249"/>
      <c r="AI39" s="2249"/>
      <c r="AJ39" s="2250"/>
      <c r="AK39" s="2251" t="s">
        <v>1492</v>
      </c>
      <c r="AL39" s="2254" t="s">
        <v>1493</v>
      </c>
      <c r="AM39" s="2021"/>
    </row>
    <row r="40" spans="1:44" ht="23.25" customHeight="1">
      <c r="Q40" s="304"/>
      <c r="R40" s="304"/>
      <c r="S40" s="2247"/>
      <c r="T40" s="2111"/>
      <c r="U40" s="924"/>
      <c r="V40" s="2260" t="s">
        <v>1494</v>
      </c>
      <c r="W40" s="2081" t="s">
        <v>1495</v>
      </c>
      <c r="X40" s="1257" t="s">
        <v>1496</v>
      </c>
      <c r="Y40" s="1257"/>
      <c r="Z40" s="2008" t="s">
        <v>1497</v>
      </c>
      <c r="AA40" s="2008"/>
      <c r="AB40" s="2002"/>
      <c r="AC40" s="2252"/>
      <c r="AD40" s="2260" t="s">
        <v>1494</v>
      </c>
      <c r="AE40" s="2081" t="s">
        <v>1495</v>
      </c>
      <c r="AF40" s="1257" t="s">
        <v>1496</v>
      </c>
      <c r="AG40" s="1257"/>
      <c r="AH40" s="2008" t="s">
        <v>1497</v>
      </c>
      <c r="AI40" s="2008"/>
      <c r="AJ40" s="2002"/>
      <c r="AK40" s="2252"/>
      <c r="AL40" s="2255"/>
      <c r="AM40" s="2021"/>
    </row>
    <row r="41" spans="1:44" s="1935" customFormat="1" ht="23.25" customHeight="1">
      <c r="A41" s="1251"/>
      <c r="B41" s="1251" t="s">
        <v>136</v>
      </c>
      <c r="C41" s="1251" t="s">
        <v>137</v>
      </c>
      <c r="D41" s="1251" t="s">
        <v>138</v>
      </c>
      <c r="E41" s="1245" t="s">
        <v>1498</v>
      </c>
      <c r="F41" s="1245" t="s">
        <v>1499</v>
      </c>
      <c r="G41" s="1245" t="s">
        <v>1500</v>
      </c>
      <c r="H41" s="1245" t="s">
        <v>1501</v>
      </c>
      <c r="I41" s="1245" t="s">
        <v>1502</v>
      </c>
      <c r="J41" s="1245" t="s">
        <v>1503</v>
      </c>
      <c r="K41" s="1245" t="s">
        <v>1504</v>
      </c>
      <c r="L41" s="1245" t="s">
        <v>1479</v>
      </c>
      <c r="M41" s="1243"/>
      <c r="N41" s="1243"/>
      <c r="O41" s="1243"/>
      <c r="P41" s="1213"/>
      <c r="Q41" s="304"/>
      <c r="R41" s="304"/>
      <c r="S41" s="2247"/>
      <c r="T41" s="2111"/>
      <c r="U41" s="220"/>
      <c r="V41" s="2261"/>
      <c r="W41" s="2086"/>
      <c r="X41" s="1254" t="s">
        <v>1505</v>
      </c>
      <c r="Y41" s="1254" t="s">
        <v>1506</v>
      </c>
      <c r="Z41" s="1219" t="s">
        <v>1507</v>
      </c>
      <c r="AA41" s="2117" t="s">
        <v>1508</v>
      </c>
      <c r="AB41" s="2131"/>
      <c r="AC41" s="2253"/>
      <c r="AD41" s="2261"/>
      <c r="AE41" s="2086"/>
      <c r="AF41" s="1254" t="s">
        <v>1505</v>
      </c>
      <c r="AG41" s="1254" t="s">
        <v>1506</v>
      </c>
      <c r="AH41" s="1219" t="s">
        <v>1507</v>
      </c>
      <c r="AI41" s="2117" t="s">
        <v>1508</v>
      </c>
      <c r="AJ41" s="2131"/>
      <c r="AK41" s="2253"/>
      <c r="AL41" s="2256"/>
      <c r="AM41" s="2021"/>
      <c r="AN41" s="439"/>
      <c r="AO41" s="428"/>
      <c r="AP41" s="428"/>
      <c r="AQ41" s="428"/>
      <c r="AR41" s="428"/>
    </row>
    <row r="42" spans="1:44" s="1720" customFormat="1" ht="11.25" hidden="1" customHeight="1">
      <c r="A42" s="1251"/>
      <c r="B42" s="1251"/>
      <c r="C42" s="1251"/>
      <c r="D42" s="1251"/>
      <c r="E42" s="1251"/>
      <c r="F42" s="1251"/>
      <c r="G42" s="1251"/>
      <c r="H42" s="1251"/>
      <c r="I42" s="1251"/>
      <c r="J42" s="1251"/>
      <c r="K42" s="1251"/>
      <c r="L42" s="1245"/>
      <c r="M42" s="1243"/>
      <c r="N42" s="1243"/>
      <c r="O42" s="1243"/>
      <c r="P42" s="1119"/>
      <c r="Q42" s="1120"/>
      <c r="R42" s="1135">
        <v>1</v>
      </c>
      <c r="S42" s="1160" t="s">
        <v>109</v>
      </c>
      <c r="T42" s="1136" t="s">
        <v>110</v>
      </c>
      <c r="U42" s="1118" t="str">
        <f ca="1">OFFSET(U42,0,-1)</f>
        <v>2</v>
      </c>
      <c r="V42" s="1220">
        <f ca="1">OFFSET(V42,0,-1)+1</f>
        <v>3</v>
      </c>
      <c r="W42" s="1220"/>
      <c r="X42" s="1226">
        <f ca="1">OFFSET(X42,0,-1)+1</f>
        <v>1</v>
      </c>
      <c r="Y42" s="1226">
        <f ca="1">OFFSET(Y42,0,-1)+1</f>
        <v>2</v>
      </c>
      <c r="Z42" s="1220">
        <f ca="1">OFFSET(Z42,0,-1)+1</f>
        <v>3</v>
      </c>
      <c r="AA42" s="2245">
        <f ca="1">OFFSET(AA42,0,-1)+1</f>
        <v>4</v>
      </c>
      <c r="AB42" s="2245"/>
      <c r="AC42" s="1220">
        <f ca="1">OFFSET(AC42,0,-2)+1</f>
        <v>5</v>
      </c>
      <c r="AD42" s="1220">
        <f ca="1">OFFSET(AD42,0,-1)+1</f>
        <v>6</v>
      </c>
      <c r="AE42" s="1220"/>
      <c r="AF42" s="1226">
        <f ca="1">OFFSET(AF42,0,-1)+1</f>
        <v>1</v>
      </c>
      <c r="AG42" s="1226">
        <f ca="1">OFFSET(AG42,0,-1)+1</f>
        <v>2</v>
      </c>
      <c r="AH42" s="1220">
        <f ca="1">OFFSET(AH42,0,-1)+1</f>
        <v>3</v>
      </c>
      <c r="AI42" s="2245">
        <f ca="1">OFFSET(AI42,0,-1)+1</f>
        <v>4</v>
      </c>
      <c r="AJ42" s="2245"/>
      <c r="AK42" s="1220">
        <f ca="1">OFFSET(AK42,0,-2)+1</f>
        <v>5</v>
      </c>
      <c r="AL42" s="1118">
        <f ca="1">OFFSET(AL42,0,-1)</f>
        <v>5</v>
      </c>
      <c r="AM42" s="1220">
        <f ca="1">OFFSET(AM42,0,-1)+1</f>
        <v>6</v>
      </c>
      <c r="AN42" s="439"/>
      <c r="AO42" s="439"/>
      <c r="AP42" s="439"/>
      <c r="AQ42" s="439"/>
      <c r="AR42" s="439"/>
    </row>
    <row r="43" spans="1:44" ht="21" customHeight="1">
      <c r="A43" s="1244" t="s">
        <v>198</v>
      </c>
      <c r="B43" s="1244"/>
      <c r="C43" s="1244"/>
      <c r="D43" s="1244"/>
      <c r="E43" s="2235">
        <v>1</v>
      </c>
      <c r="F43" s="1244"/>
      <c r="G43" s="1244"/>
      <c r="H43" s="1244"/>
      <c r="I43" s="1244"/>
      <c r="J43" s="1244"/>
      <c r="K43" s="1244"/>
      <c r="L43" s="1245"/>
      <c r="M43" s="1246"/>
      <c r="N43" s="1246"/>
      <c r="O43" s="1246"/>
      <c r="P43" s="285"/>
      <c r="Q43" s="284"/>
      <c r="R43" s="279"/>
      <c r="S43" s="1221">
        <f>INDEX(PT_DIFFERENTIATION_NUM_NTAR,MATCH(A43,PT_DIFFERENTIATION_NTAR_ID,0))</f>
        <v>0</v>
      </c>
      <c r="T43" s="216" t="s">
        <v>124</v>
      </c>
      <c r="U43" s="218"/>
      <c r="V43" s="2229"/>
      <c r="W43" s="2230"/>
      <c r="X43" s="2230"/>
      <c r="Y43" s="2230"/>
      <c r="Z43" s="2230"/>
      <c r="AA43" s="2230"/>
      <c r="AB43" s="2230"/>
      <c r="AC43" s="2231"/>
      <c r="AD43" s="2229" t="str">
        <f>INDEX(PT_DIFFERENTIATION_NTAR,MATCH(A43,PT_DIFFERENTIATION_NTAR_ID,0))</f>
        <v/>
      </c>
      <c r="AE43" s="2230"/>
      <c r="AF43" s="2230"/>
      <c r="AG43" s="2230"/>
      <c r="AH43" s="2230"/>
      <c r="AI43" s="2230"/>
      <c r="AJ43" s="2230"/>
      <c r="AK43" s="2230"/>
      <c r="AL43" s="2231"/>
      <c r="AM43" s="1140" t="s">
        <v>1460</v>
      </c>
      <c r="AO43" s="428"/>
      <c r="AP43" s="428" t="str">
        <f t="shared" ref="AP43:AP57" si="1">IF(T43="","",T43)</f>
        <v>Наименование тарифа</v>
      </c>
      <c r="AQ43" s="428"/>
      <c r="AR43" s="428"/>
    </row>
    <row r="44" spans="1:44" ht="21" customHeight="1">
      <c r="A44" s="1244" t="s">
        <v>198</v>
      </c>
      <c r="B44" s="1244" t="s">
        <v>199</v>
      </c>
      <c r="C44" s="1244"/>
      <c r="D44" s="1244"/>
      <c r="E44" s="2236"/>
      <c r="F44" s="2235">
        <v>1</v>
      </c>
      <c r="G44" s="1244"/>
      <c r="H44" s="1244"/>
      <c r="I44" s="1244"/>
      <c r="J44" s="1244"/>
      <c r="K44" s="1244"/>
      <c r="L44" s="1245"/>
      <c r="M44" s="1246"/>
      <c r="N44" s="1246"/>
      <c r="O44" s="1246"/>
      <c r="P44" s="1217"/>
      <c r="Q44" s="276"/>
      <c r="R44" s="277"/>
      <c r="S44" s="1221" t="str">
        <f>INDEX(PT_DIFFERENTIATION_NUM_TER,MATCH(B44,PT_DIFFERENTIATION_TER_ID,0))</f>
        <v>.</v>
      </c>
      <c r="T44" s="228" t="s">
        <v>1461</v>
      </c>
      <c r="U44" s="218"/>
      <c r="V44" s="2229"/>
      <c r="W44" s="2230"/>
      <c r="X44" s="2230"/>
      <c r="Y44" s="2230"/>
      <c r="Z44" s="2230"/>
      <c r="AA44" s="2230"/>
      <c r="AB44" s="2230"/>
      <c r="AC44" s="2231"/>
      <c r="AD44" s="2229" t="str">
        <f>INDEX(PT_DIFFERENTIATION_TER,MATCH(B44,PT_DIFFERENTIATION_TER_ID,0))</f>
        <v/>
      </c>
      <c r="AE44" s="2230"/>
      <c r="AF44" s="2230"/>
      <c r="AG44" s="2230"/>
      <c r="AH44" s="2230"/>
      <c r="AI44" s="2230"/>
      <c r="AJ44" s="2230"/>
      <c r="AK44" s="2230"/>
      <c r="AL44" s="2231"/>
      <c r="AM44" s="1140" t="s">
        <v>1462</v>
      </c>
      <c r="AO44" s="428"/>
      <c r="AP44" s="428" t="str">
        <f t="shared" si="1"/>
        <v>Территория действия тарифа</v>
      </c>
      <c r="AQ44" s="428"/>
      <c r="AR44" s="428"/>
    </row>
    <row r="45" spans="1:44" ht="23.25" customHeight="1">
      <c r="A45" s="1244" t="s">
        <v>198</v>
      </c>
      <c r="B45" s="1244" t="s">
        <v>199</v>
      </c>
      <c r="C45" s="1244" t="s">
        <v>200</v>
      </c>
      <c r="D45" s="1244"/>
      <c r="E45" s="2236"/>
      <c r="F45" s="2236"/>
      <c r="G45" s="2235">
        <v>1</v>
      </c>
      <c r="H45" s="1244"/>
      <c r="I45" s="1244"/>
      <c r="J45" s="1244"/>
      <c r="K45" s="1244"/>
      <c r="L45" s="1245"/>
      <c r="M45" s="1246"/>
      <c r="N45" s="1246"/>
      <c r="O45" s="1246"/>
      <c r="P45" s="278"/>
      <c r="Q45" s="276"/>
      <c r="R45" s="277"/>
      <c r="S45" s="1221" t="str">
        <f>INDEX(PT_DIFFERENTIATION_NUM_CS,MATCH(C45,PT_DIFFERENTIATION_CS_ID,0))</f>
        <v>..</v>
      </c>
      <c r="T45" s="229" t="s">
        <v>1463</v>
      </c>
      <c r="U45" s="218"/>
      <c r="V45" s="2229"/>
      <c r="W45" s="2230"/>
      <c r="X45" s="2230"/>
      <c r="Y45" s="2230"/>
      <c r="Z45" s="2230"/>
      <c r="AA45" s="2230"/>
      <c r="AB45" s="2230"/>
      <c r="AC45" s="2231"/>
      <c r="AD45" s="2229" t="str">
        <f>INDEX(PT_DIFFERENTIATION_CS,MATCH(C45,PT_DIFFERENTIATION_CS_ID,0))</f>
        <v/>
      </c>
      <c r="AE45" s="2230"/>
      <c r="AF45" s="2230"/>
      <c r="AG45" s="2230"/>
      <c r="AH45" s="2230"/>
      <c r="AI45" s="2230"/>
      <c r="AJ45" s="2230"/>
      <c r="AK45" s="2230"/>
      <c r="AL45" s="2231"/>
      <c r="AM45" s="1140" t="s">
        <v>1464</v>
      </c>
      <c r="AO45" s="428"/>
      <c r="AP45" s="428" t="str">
        <f t="shared" si="1"/>
        <v xml:space="preserve">Наименование системы теплоснабжения </v>
      </c>
      <c r="AQ45" s="428"/>
      <c r="AR45" s="428"/>
    </row>
    <row r="46" spans="1:44" ht="21" customHeight="1">
      <c r="A46" s="1244" t="s">
        <v>198</v>
      </c>
      <c r="B46" s="1244" t="s">
        <v>199</v>
      </c>
      <c r="C46" s="1244" t="s">
        <v>200</v>
      </c>
      <c r="D46" s="1244" t="s">
        <v>201</v>
      </c>
      <c r="E46" s="2236"/>
      <c r="F46" s="2236"/>
      <c r="G46" s="2236"/>
      <c r="H46" s="2235">
        <v>1</v>
      </c>
      <c r="I46" s="1244"/>
      <c r="J46" s="1244"/>
      <c r="K46" s="1244"/>
      <c r="L46" s="1245"/>
      <c r="M46" s="1246"/>
      <c r="N46" s="1246"/>
      <c r="O46" s="1246"/>
      <c r="P46" s="278"/>
      <c r="Q46" s="276"/>
      <c r="R46" s="277"/>
      <c r="S46" s="1221" t="str">
        <f>INDEX(PT_DIFFERENTIATION_NUM_IST_TE,MATCH(D46,PT_DIFFERENTIATION_IST_TE_ID,0))</f>
        <v>...</v>
      </c>
      <c r="T46" s="230" t="s">
        <v>1465</v>
      </c>
      <c r="U46" s="218"/>
      <c r="V46" s="2229"/>
      <c r="W46" s="2230"/>
      <c r="X46" s="2230"/>
      <c r="Y46" s="2230"/>
      <c r="Z46" s="2230"/>
      <c r="AA46" s="2230"/>
      <c r="AB46" s="2230"/>
      <c r="AC46" s="2231"/>
      <c r="AD46" s="2229" t="str">
        <f>INDEX(PT_DIFFERENTIATION_IST_TE,MATCH(D46,PT_DIFFERENTIATION_IST_TE_ID,0))</f>
        <v/>
      </c>
      <c r="AE46" s="2230"/>
      <c r="AF46" s="2230"/>
      <c r="AG46" s="2230"/>
      <c r="AH46" s="2230"/>
      <c r="AI46" s="2230"/>
      <c r="AJ46" s="2230"/>
      <c r="AK46" s="2230"/>
      <c r="AL46" s="2231"/>
      <c r="AM46" s="1140" t="s">
        <v>1466</v>
      </c>
      <c r="AO46" s="428"/>
      <c r="AP46" s="428" t="str">
        <f t="shared" si="1"/>
        <v xml:space="preserve">Источник тепловой энергии  </v>
      </c>
      <c r="AQ46" s="428"/>
      <c r="AR46" s="428"/>
    </row>
    <row r="47" spans="1:44" ht="47.25" customHeight="1">
      <c r="A47" s="1244" t="s">
        <v>198</v>
      </c>
      <c r="B47" s="1244" t="s">
        <v>199</v>
      </c>
      <c r="C47" s="1244" t="s">
        <v>200</v>
      </c>
      <c r="D47" s="1244" t="s">
        <v>201</v>
      </c>
      <c r="E47" s="2236"/>
      <c r="F47" s="2236"/>
      <c r="G47" s="2236"/>
      <c r="H47" s="2236"/>
      <c r="I47" s="2237" t="str">
        <f>S46&amp;".1"</f>
        <v>....1</v>
      </c>
      <c r="J47" s="1244"/>
      <c r="K47" s="1244"/>
      <c r="L47" s="1245" t="s">
        <v>1467</v>
      </c>
      <c r="P47" s="2157">
        <v>1</v>
      </c>
      <c r="Q47" s="1216"/>
      <c r="R47" s="280"/>
      <c r="S47" s="1221" t="str">
        <f>$I47</f>
        <v>....1</v>
      </c>
      <c r="T47" s="203" t="s">
        <v>1468</v>
      </c>
      <c r="U47" s="218"/>
      <c r="V47" s="2224"/>
      <c r="W47" s="2225"/>
      <c r="X47" s="2225"/>
      <c r="Y47" s="2225"/>
      <c r="Z47" s="2225"/>
      <c r="AA47" s="2225"/>
      <c r="AB47" s="2225"/>
      <c r="AC47" s="2226"/>
      <c r="AD47" s="2224"/>
      <c r="AE47" s="2225"/>
      <c r="AF47" s="2225"/>
      <c r="AG47" s="2225"/>
      <c r="AH47" s="2225"/>
      <c r="AI47" s="2225"/>
      <c r="AJ47" s="2225"/>
      <c r="AK47" s="2225"/>
      <c r="AL47" s="2226"/>
      <c r="AM47" s="1140" t="s">
        <v>1469</v>
      </c>
      <c r="AO47" s="428"/>
      <c r="AP47" s="428" t="str">
        <f t="shared" si="1"/>
        <v>Схема подключения теплопотребляющей установки к коллектору источника тепловой энергии</v>
      </c>
      <c r="AQ47" s="428"/>
      <c r="AR47" s="428"/>
    </row>
    <row r="48" spans="1:44" ht="21" customHeight="1">
      <c r="A48" s="1244" t="s">
        <v>198</v>
      </c>
      <c r="B48" s="1244" t="s">
        <v>199</v>
      </c>
      <c r="C48" s="1244" t="s">
        <v>200</v>
      </c>
      <c r="D48" s="1244" t="s">
        <v>201</v>
      </c>
      <c r="E48" s="2236"/>
      <c r="F48" s="2236"/>
      <c r="G48" s="2236"/>
      <c r="H48" s="2236"/>
      <c r="I48" s="2238"/>
      <c r="J48" s="2237" t="str">
        <f>I47&amp;".1"</f>
        <v>....1.1</v>
      </c>
      <c r="K48" s="1244"/>
      <c r="L48" s="1245" t="s">
        <v>1470</v>
      </c>
      <c r="P48" s="2157"/>
      <c r="Q48" s="2157">
        <v>1</v>
      </c>
      <c r="R48" s="281"/>
      <c r="S48" s="1221" t="str">
        <f>$J48</f>
        <v>....1.1</v>
      </c>
      <c r="T48" s="204" t="s">
        <v>1471</v>
      </c>
      <c r="U48" s="218"/>
      <c r="V48" s="2224"/>
      <c r="W48" s="2225"/>
      <c r="X48" s="2225"/>
      <c r="Y48" s="2225"/>
      <c r="Z48" s="2225"/>
      <c r="AA48" s="2225"/>
      <c r="AB48" s="2225"/>
      <c r="AC48" s="2226"/>
      <c r="AD48" s="2224"/>
      <c r="AE48" s="2225"/>
      <c r="AF48" s="2225"/>
      <c r="AG48" s="2225"/>
      <c r="AH48" s="2225"/>
      <c r="AI48" s="2225"/>
      <c r="AJ48" s="2225"/>
      <c r="AK48" s="2225"/>
      <c r="AL48" s="2226"/>
      <c r="AM48" s="1140" t="s">
        <v>1472</v>
      </c>
      <c r="AO48" s="428"/>
      <c r="AP48" s="428" t="str">
        <f t="shared" si="1"/>
        <v>Группа потребителей</v>
      </c>
      <c r="AQ48" s="428"/>
      <c r="AR48" s="428"/>
    </row>
    <row r="49" spans="1:44" ht="21" customHeight="1">
      <c r="A49" s="1244" t="s">
        <v>198</v>
      </c>
      <c r="B49" s="1244" t="s">
        <v>199</v>
      </c>
      <c r="C49" s="1244" t="s">
        <v>200</v>
      </c>
      <c r="D49" s="1244" t="s">
        <v>201</v>
      </c>
      <c r="E49" s="2236"/>
      <c r="F49" s="2236"/>
      <c r="G49" s="2236"/>
      <c r="H49" s="2236"/>
      <c r="I49" s="2238"/>
      <c r="J49" s="2238"/>
      <c r="K49" s="2237" t="str">
        <f>J48&amp;".1"</f>
        <v>....1.1.1</v>
      </c>
      <c r="L49" s="1245" t="s">
        <v>1473</v>
      </c>
      <c r="P49" s="2157"/>
      <c r="Q49" s="2157"/>
      <c r="R49" s="281">
        <v>1</v>
      </c>
      <c r="S49" s="1221" t="str">
        <f>$K49</f>
        <v>....1.1.1</v>
      </c>
      <c r="T49" s="1232"/>
      <c r="U49" s="218"/>
      <c r="V49" s="1668"/>
      <c r="W49" s="1667"/>
      <c r="X49" s="1668"/>
      <c r="Y49" s="1678"/>
      <c r="Z49" s="2239"/>
      <c r="AA49" s="2031" t="s">
        <v>66</v>
      </c>
      <c r="AB49" s="2239"/>
      <c r="AC49" s="2031" t="s">
        <v>66</v>
      </c>
      <c r="AD49" s="1668"/>
      <c r="AE49" s="1667"/>
      <c r="AF49" s="1668"/>
      <c r="AG49" s="1678"/>
      <c r="AH49" s="2239"/>
      <c r="AI49" s="2031" t="s">
        <v>66</v>
      </c>
      <c r="AJ49" s="2241"/>
      <c r="AK49" s="2031" t="s">
        <v>66</v>
      </c>
      <c r="AL49" s="1675"/>
      <c r="AM49" s="2257" t="s">
        <v>1474</v>
      </c>
      <c r="AN49" s="439" t="e">
        <f ca="1">STRCHECKDATE(V50:AL50)</f>
        <v>#NAME?</v>
      </c>
      <c r="AO49" s="428"/>
      <c r="AP49" s="428" t="str">
        <f t="shared" si="1"/>
        <v/>
      </c>
      <c r="AQ49" s="428"/>
      <c r="AR49" s="428"/>
    </row>
    <row r="50" spans="1:44" ht="0.75" customHeight="1">
      <c r="A50" s="1244" t="s">
        <v>198</v>
      </c>
      <c r="B50" s="1244" t="s">
        <v>199</v>
      </c>
      <c r="C50" s="1244" t="s">
        <v>200</v>
      </c>
      <c r="D50" s="1244" t="s">
        <v>201</v>
      </c>
      <c r="E50" s="2236"/>
      <c r="F50" s="2236"/>
      <c r="G50" s="2236"/>
      <c r="H50" s="2236"/>
      <c r="I50" s="2238"/>
      <c r="J50" s="2238"/>
      <c r="K50" s="2237"/>
      <c r="L50" s="1245"/>
      <c r="P50" s="2157"/>
      <c r="Q50" s="2157"/>
      <c r="R50" s="281"/>
      <c r="S50" s="1227"/>
      <c r="T50" s="218"/>
      <c r="U50" s="218"/>
      <c r="V50" s="1668"/>
      <c r="W50" s="1668"/>
      <c r="X50" s="1668"/>
      <c r="Y50" s="1670" t="str">
        <f>Z49&amp;"-"&amp;AB49</f>
        <v>-</v>
      </c>
      <c r="Z50" s="2240"/>
      <c r="AA50" s="2031"/>
      <c r="AB50" s="2240"/>
      <c r="AC50" s="2031"/>
      <c r="AD50" s="1668"/>
      <c r="AE50" s="1668"/>
      <c r="AF50" s="1668"/>
      <c r="AG50" s="1670" t="str">
        <f>AH49&amp;"-"&amp;AJ49</f>
        <v>-</v>
      </c>
      <c r="AH50" s="2240"/>
      <c r="AI50" s="2031"/>
      <c r="AJ50" s="2242"/>
      <c r="AK50" s="2031"/>
      <c r="AL50" s="1676"/>
      <c r="AM50" s="2258"/>
      <c r="AO50" s="428"/>
      <c r="AP50" s="428" t="str">
        <f t="shared" si="1"/>
        <v/>
      </c>
      <c r="AQ50" s="428"/>
      <c r="AR50" s="428"/>
    </row>
    <row r="51" spans="1:44" ht="11.25" customHeight="1">
      <c r="A51" s="1244" t="s">
        <v>198</v>
      </c>
      <c r="B51" s="1244" t="s">
        <v>199</v>
      </c>
      <c r="C51" s="1244" t="s">
        <v>200</v>
      </c>
      <c r="D51" s="1244" t="s">
        <v>201</v>
      </c>
      <c r="E51" s="2236"/>
      <c r="F51" s="2236"/>
      <c r="G51" s="2236"/>
      <c r="H51" s="2236"/>
      <c r="I51" s="2238"/>
      <c r="J51" s="2237"/>
      <c r="K51" s="1244"/>
      <c r="L51" s="1245"/>
      <c r="P51" s="2157"/>
      <c r="Q51" s="2157"/>
      <c r="R51" s="280"/>
      <c r="S51" s="1161"/>
      <c r="T51" s="206" t="s">
        <v>1475</v>
      </c>
      <c r="U51" s="294"/>
      <c r="V51" s="294"/>
      <c r="W51" s="294"/>
      <c r="X51" s="294"/>
      <c r="Y51" s="294"/>
      <c r="Z51" s="294"/>
      <c r="AA51" s="294"/>
      <c r="AB51" s="294"/>
      <c r="AC51" s="294"/>
      <c r="AD51" s="294"/>
      <c r="AE51" s="294"/>
      <c r="AF51" s="294"/>
      <c r="AG51" s="294"/>
      <c r="AH51" s="294"/>
      <c r="AI51" s="294"/>
      <c r="AJ51" s="294"/>
      <c r="AK51" s="294"/>
      <c r="AL51" s="251"/>
      <c r="AM51" s="2259"/>
      <c r="AO51" s="428"/>
      <c r="AP51" s="428" t="str">
        <f t="shared" si="1"/>
        <v>Добавить вид теплоносителя (параметры теплоносителя)</v>
      </c>
      <c r="AQ51" s="428"/>
      <c r="AR51" s="428"/>
    </row>
    <row r="52" spans="1:44" ht="11.25" customHeight="1">
      <c r="A52" s="1244" t="s">
        <v>198</v>
      </c>
      <c r="B52" s="1244" t="s">
        <v>199</v>
      </c>
      <c r="C52" s="1244" t="s">
        <v>200</v>
      </c>
      <c r="D52" s="1244" t="s">
        <v>201</v>
      </c>
      <c r="E52" s="2236"/>
      <c r="F52" s="2236"/>
      <c r="G52" s="2236"/>
      <c r="H52" s="2236"/>
      <c r="I52" s="2237"/>
      <c r="J52" s="1244"/>
      <c r="K52" s="1244"/>
      <c r="L52" s="1245"/>
      <c r="P52" s="2157"/>
      <c r="Q52" s="1216"/>
      <c r="R52" s="280"/>
      <c r="S52" s="1161"/>
      <c r="T52" s="205" t="s">
        <v>1476</v>
      </c>
      <c r="U52" s="294"/>
      <c r="V52" s="294"/>
      <c r="W52" s="294"/>
      <c r="X52" s="294"/>
      <c r="Y52" s="294"/>
      <c r="Z52" s="294"/>
      <c r="AA52" s="294"/>
      <c r="AB52" s="294"/>
      <c r="AC52" s="293"/>
      <c r="AD52" s="294"/>
      <c r="AE52" s="294"/>
      <c r="AF52" s="294"/>
      <c r="AG52" s="294"/>
      <c r="AH52" s="294"/>
      <c r="AI52" s="294"/>
      <c r="AJ52" s="294"/>
      <c r="AK52" s="293"/>
      <c r="AL52" s="294"/>
      <c r="AM52" s="221"/>
      <c r="AO52" s="428"/>
      <c r="AP52" s="428" t="str">
        <f t="shared" si="1"/>
        <v>Добавить группу потребителей</v>
      </c>
      <c r="AQ52" s="428"/>
      <c r="AR52" s="428"/>
    </row>
    <row r="53" spans="1:44" ht="14.25" customHeight="1">
      <c r="A53" s="1244" t="s">
        <v>198</v>
      </c>
      <c r="B53" s="1244" t="s">
        <v>199</v>
      </c>
      <c r="C53" s="1244" t="s">
        <v>200</v>
      </c>
      <c r="D53" s="1244" t="s">
        <v>201</v>
      </c>
      <c r="E53" s="2236"/>
      <c r="F53" s="2236"/>
      <c r="G53" s="2236"/>
      <c r="H53" s="2235"/>
      <c r="I53" s="1244"/>
      <c r="J53" s="1244"/>
      <c r="K53" s="1244"/>
      <c r="L53" s="1245"/>
      <c r="M53" s="1246"/>
      <c r="N53" s="1246"/>
      <c r="O53" s="464"/>
      <c r="P53" s="284"/>
      <c r="Q53" s="303"/>
      <c r="R53" s="279"/>
      <c r="S53" s="1161"/>
      <c r="T53" s="291" t="s">
        <v>1477</v>
      </c>
      <c r="U53" s="294"/>
      <c r="V53" s="294"/>
      <c r="W53" s="294"/>
      <c r="X53" s="294"/>
      <c r="Y53" s="294"/>
      <c r="Z53" s="294"/>
      <c r="AA53" s="294"/>
      <c r="AB53" s="294"/>
      <c r="AC53" s="293"/>
      <c r="AD53" s="294"/>
      <c r="AE53" s="294"/>
      <c r="AF53" s="294"/>
      <c r="AG53" s="294"/>
      <c r="AH53" s="294"/>
      <c r="AI53" s="294"/>
      <c r="AJ53" s="294"/>
      <c r="AK53" s="293"/>
      <c r="AL53" s="294"/>
      <c r="AM53" s="221"/>
      <c r="AO53" s="428"/>
      <c r="AP53" s="428" t="str">
        <f t="shared" si="1"/>
        <v>Добавить схему подключения</v>
      </c>
      <c r="AQ53" s="428"/>
      <c r="AR53" s="428"/>
    </row>
    <row r="54" spans="1:44" s="1772" customFormat="1" ht="0.75" customHeight="1">
      <c r="A54" s="1228" t="s">
        <v>198</v>
      </c>
      <c r="B54" s="1228" t="s">
        <v>199</v>
      </c>
      <c r="C54" s="1228" t="s">
        <v>200</v>
      </c>
      <c r="D54" s="1200"/>
      <c r="E54" s="2236"/>
      <c r="F54" s="2236"/>
      <c r="G54" s="2235"/>
      <c r="H54" s="1200"/>
      <c r="I54" s="1200"/>
      <c r="J54" s="1200"/>
      <c r="K54" s="1200"/>
      <c r="L54" s="1224"/>
      <c r="M54" s="1201"/>
      <c r="N54" s="1201"/>
      <c r="P54" s="1202"/>
      <c r="Q54" s="1203"/>
      <c r="R54" s="1202"/>
      <c r="S54" s="1208"/>
      <c r="T54" s="1211" t="s">
        <v>1436</v>
      </c>
      <c r="U54" s="1210"/>
      <c r="V54" s="1210"/>
      <c r="W54" s="1210"/>
      <c r="X54" s="1210"/>
      <c r="Y54" s="1210"/>
      <c r="Z54" s="1210"/>
      <c r="AA54" s="1210"/>
      <c r="AB54" s="1210"/>
      <c r="AC54" s="1210"/>
      <c r="AD54" s="1210"/>
      <c r="AE54" s="1210"/>
      <c r="AF54" s="1210"/>
      <c r="AG54" s="1210"/>
      <c r="AH54" s="1210"/>
      <c r="AI54" s="1210"/>
      <c r="AJ54" s="1210"/>
      <c r="AK54" s="1210"/>
      <c r="AL54" s="1210"/>
      <c r="AM54" s="1210"/>
      <c r="AO54" s="696"/>
      <c r="AP54" s="696" t="str">
        <f t="shared" si="1"/>
        <v>Добавить источник для дифференциации</v>
      </c>
      <c r="AQ54" s="696"/>
      <c r="AR54" s="696"/>
    </row>
    <row r="55" spans="1:44" s="1772" customFormat="1" ht="0.75" customHeight="1">
      <c r="A55" s="1228" t="s">
        <v>198</v>
      </c>
      <c r="B55" s="1228" t="s">
        <v>199</v>
      </c>
      <c r="C55" s="1200"/>
      <c r="D55" s="1200"/>
      <c r="E55" s="2236"/>
      <c r="F55" s="2235"/>
      <c r="G55" s="1200"/>
      <c r="H55" s="1200"/>
      <c r="I55" s="1200"/>
      <c r="J55" s="1200"/>
      <c r="K55" s="1200"/>
      <c r="L55" s="1224"/>
      <c r="M55" s="1207"/>
      <c r="N55" s="1207"/>
      <c r="P55" s="1202"/>
      <c r="Q55" s="1203"/>
      <c r="R55" s="1202"/>
      <c r="S55" s="1208"/>
      <c r="T55" s="1211" t="s">
        <v>1437</v>
      </c>
      <c r="U55" s="1210"/>
      <c r="V55" s="1210"/>
      <c r="W55" s="1210"/>
      <c r="X55" s="1210"/>
      <c r="Y55" s="1210"/>
      <c r="Z55" s="1210"/>
      <c r="AA55" s="1210"/>
      <c r="AB55" s="1210"/>
      <c r="AC55" s="1210"/>
      <c r="AD55" s="1210"/>
      <c r="AE55" s="1210"/>
      <c r="AF55" s="1210"/>
      <c r="AG55" s="1210"/>
      <c r="AH55" s="1210"/>
      <c r="AI55" s="1210"/>
      <c r="AJ55" s="1210"/>
      <c r="AK55" s="1210"/>
      <c r="AL55" s="1210"/>
      <c r="AM55" s="1210"/>
      <c r="AO55" s="696"/>
      <c r="AP55" s="696" t="str">
        <f t="shared" si="1"/>
        <v>Добавить централизованную систему для дифференциации</v>
      </c>
      <c r="AQ55" s="696"/>
      <c r="AR55" s="696"/>
    </row>
    <row r="56" spans="1:44" s="1772" customFormat="1" ht="0.75" customHeight="1">
      <c r="A56" s="1228" t="s">
        <v>198</v>
      </c>
      <c r="B56" s="1228"/>
      <c r="C56" s="1228"/>
      <c r="D56" s="1228"/>
      <c r="E56" s="2235"/>
      <c r="F56" s="1228"/>
      <c r="G56" s="1228"/>
      <c r="H56" s="1228"/>
      <c r="I56" s="1228"/>
      <c r="J56" s="1228"/>
      <c r="K56" s="1228"/>
      <c r="L56" s="1231"/>
      <c r="M56" s="1207"/>
      <c r="N56" s="1207"/>
      <c r="O56" s="446"/>
      <c r="P56" s="311"/>
      <c r="Q56" s="1229"/>
      <c r="R56" s="311"/>
      <c r="S56" s="1208"/>
      <c r="T56" s="1211" t="s">
        <v>1438</v>
      </c>
      <c r="U56" s="1210"/>
      <c r="V56" s="1210"/>
      <c r="W56" s="1210"/>
      <c r="X56" s="1210"/>
      <c r="Y56" s="1210"/>
      <c r="Z56" s="1210"/>
      <c r="AA56" s="1210"/>
      <c r="AB56" s="1210"/>
      <c r="AC56" s="1210"/>
      <c r="AD56" s="1210"/>
      <c r="AE56" s="1210"/>
      <c r="AF56" s="1210"/>
      <c r="AG56" s="1210"/>
      <c r="AH56" s="1210"/>
      <c r="AI56" s="1210"/>
      <c r="AJ56" s="1210"/>
      <c r="AK56" s="1210"/>
      <c r="AL56" s="1210"/>
      <c r="AM56" s="1210"/>
      <c r="AO56" s="428"/>
      <c r="AP56" s="428" t="str">
        <f t="shared" si="1"/>
        <v>Добавить территорию для дифференциации</v>
      </c>
      <c r="AQ56" s="428"/>
      <c r="AR56" s="428"/>
    </row>
    <row r="57" spans="1:44" s="1772" customFormat="1" ht="0.75" customHeight="1">
      <c r="A57" s="1200"/>
      <c r="B57" s="1200"/>
      <c r="C57" s="1200"/>
      <c r="D57" s="1200"/>
      <c r="E57" s="1228"/>
      <c r="F57" s="1200"/>
      <c r="G57" s="1200"/>
      <c r="H57" s="1200"/>
      <c r="I57" s="1200"/>
      <c r="J57" s="1200"/>
      <c r="K57" s="1200"/>
      <c r="L57" s="1224"/>
      <c r="M57" s="1207"/>
      <c r="N57" s="1207"/>
      <c r="P57" s="1202"/>
      <c r="Q57" s="1203"/>
      <c r="R57" s="1202"/>
      <c r="S57" s="1208"/>
      <c r="T57" s="1211" t="s">
        <v>1439</v>
      </c>
      <c r="U57" s="1210"/>
      <c r="V57" s="1210"/>
      <c r="W57" s="1210"/>
      <c r="X57" s="1210"/>
      <c r="Y57" s="1210"/>
      <c r="Z57" s="1210"/>
      <c r="AA57" s="1210"/>
      <c r="AB57" s="1210"/>
      <c r="AC57" s="1210"/>
      <c r="AD57" s="1210"/>
      <c r="AE57" s="1210"/>
      <c r="AF57" s="1210"/>
      <c r="AG57" s="1210"/>
      <c r="AH57" s="1210"/>
      <c r="AI57" s="1210"/>
      <c r="AJ57" s="1210"/>
      <c r="AK57" s="1210"/>
      <c r="AL57" s="1210"/>
      <c r="AM57" s="1210"/>
      <c r="AO57" s="696"/>
      <c r="AP57" s="696" t="str">
        <f t="shared" si="1"/>
        <v>Добавить наименование тарифа</v>
      </c>
      <c r="AQ57" s="696"/>
      <c r="AR57" s="696"/>
    </row>
    <row r="58" spans="1:44" ht="11.25" hidden="1" customHeight="1">
      <c r="M58" s="1036"/>
      <c r="N58" s="1036"/>
      <c r="O58" s="464"/>
      <c r="P58" s="1031"/>
      <c r="Q58" s="1031"/>
      <c r="R58" s="1031"/>
      <c r="S58" s="1031"/>
      <c r="AN58" s="1031"/>
      <c r="AO58" s="1031"/>
      <c r="AP58" s="1031"/>
      <c r="AQ58" s="1031"/>
      <c r="AR58" s="1031"/>
    </row>
    <row r="59" spans="1:44" ht="27" hidden="1" customHeight="1">
      <c r="O59" s="464"/>
      <c r="S59" s="1128" t="s">
        <v>1509</v>
      </c>
      <c r="T59" s="2234" t="s">
        <v>1516</v>
      </c>
      <c r="U59" s="2234"/>
      <c r="V59" s="2234"/>
      <c r="W59" s="2234"/>
      <c r="X59" s="2234"/>
      <c r="Y59" s="2234"/>
      <c r="Z59" s="2234"/>
      <c r="AA59" s="2234"/>
      <c r="AB59" s="2234"/>
      <c r="AC59" s="2234"/>
      <c r="AD59" s="2234"/>
      <c r="AE59" s="2234"/>
      <c r="AF59" s="2234"/>
      <c r="AG59" s="2234"/>
      <c r="AH59" s="2234"/>
      <c r="AI59" s="2234"/>
      <c r="AJ59" s="2234"/>
      <c r="AK59" s="2234"/>
      <c r="AL59" s="2234"/>
      <c r="AM59" s="2234"/>
    </row>
    <row r="60" spans="1:44" ht="75" hidden="1" customHeight="1">
      <c r="O60" s="464"/>
      <c r="T60" s="2234" t="s">
        <v>1511</v>
      </c>
      <c r="U60" s="2234"/>
      <c r="V60" s="2234"/>
      <c r="W60" s="2234"/>
      <c r="X60" s="2234"/>
      <c r="Y60" s="2234"/>
      <c r="Z60" s="2234"/>
      <c r="AA60" s="2234"/>
      <c r="AB60" s="2234"/>
      <c r="AC60" s="2234"/>
      <c r="AD60" s="2234"/>
      <c r="AE60" s="2234"/>
      <c r="AF60" s="2234"/>
      <c r="AG60" s="2234"/>
      <c r="AH60" s="2234"/>
      <c r="AI60" s="2234"/>
      <c r="AJ60" s="2234"/>
      <c r="AK60" s="2234"/>
      <c r="AL60" s="2234"/>
      <c r="AM60" s="2234"/>
    </row>
    <row r="61" spans="1:44" ht="14.25" hidden="1" customHeight="1">
      <c r="O61" s="464"/>
    </row>
    <row r="62" spans="1:44" ht="18" hidden="1" customHeight="1">
      <c r="O62" s="464"/>
      <c r="S62" s="1128" t="s">
        <v>1509</v>
      </c>
      <c r="T62" s="2234" t="s">
        <v>1512</v>
      </c>
      <c r="U62" s="2234"/>
      <c r="V62" s="2234"/>
      <c r="W62" s="2234"/>
      <c r="X62" s="2234"/>
      <c r="Y62" s="2234"/>
      <c r="Z62" s="2234"/>
      <c r="AA62" s="2234"/>
      <c r="AB62" s="2234"/>
      <c r="AC62" s="2234"/>
      <c r="AD62" s="2234"/>
      <c r="AE62" s="2234"/>
      <c r="AF62" s="2234"/>
      <c r="AG62" s="2234"/>
      <c r="AH62" s="2234"/>
      <c r="AI62" s="2234"/>
      <c r="AJ62" s="2234"/>
      <c r="AK62" s="2234"/>
      <c r="AL62" s="2234"/>
      <c r="AM62" s="2234"/>
    </row>
    <row r="63" spans="1:44" ht="18" hidden="1" customHeight="1">
      <c r="O63" s="464"/>
      <c r="T63" s="2234" t="s">
        <v>1513</v>
      </c>
      <c r="U63" s="2234"/>
      <c r="V63" s="2234"/>
      <c r="W63" s="2234"/>
      <c r="X63" s="2234"/>
      <c r="Y63" s="2234"/>
      <c r="Z63" s="2234"/>
      <c r="AA63" s="2234"/>
      <c r="AB63" s="2234"/>
      <c r="AC63" s="2234"/>
      <c r="AD63" s="2234"/>
      <c r="AE63" s="2234"/>
      <c r="AF63" s="2234"/>
      <c r="AG63" s="2234"/>
      <c r="AH63" s="2234"/>
      <c r="AI63" s="2234"/>
      <c r="AJ63" s="2234"/>
      <c r="AK63" s="2234"/>
      <c r="AL63" s="2234"/>
      <c r="AM63" s="2234"/>
    </row>
    <row r="64" spans="1:44" ht="38.25" hidden="1" customHeight="1">
      <c r="O64" s="464"/>
      <c r="S64" s="1128"/>
      <c r="T64" s="2234" t="s">
        <v>1514</v>
      </c>
      <c r="U64" s="2234"/>
      <c r="V64" s="2234"/>
      <c r="W64" s="2234"/>
      <c r="X64" s="2234"/>
      <c r="Y64" s="2234"/>
      <c r="Z64" s="2234"/>
      <c r="AA64" s="2234"/>
      <c r="AB64" s="2234"/>
      <c r="AC64" s="2234"/>
      <c r="AD64" s="2234"/>
      <c r="AE64" s="2234"/>
      <c r="AF64" s="2234"/>
      <c r="AG64" s="2234"/>
      <c r="AH64" s="2234"/>
      <c r="AI64" s="2234"/>
      <c r="AJ64" s="2234"/>
      <c r="AK64" s="2234"/>
      <c r="AL64" s="2234"/>
      <c r="AM64" s="2234"/>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759" hidden="1"/>
    <col min="2" max="2" width="11" style="1759" hidden="1" customWidth="1"/>
    <col min="3" max="3" width="10.5703125" style="1759" hidden="1"/>
    <col min="4" max="4" width="11.85546875" style="1759" hidden="1" customWidth="1"/>
    <col min="5" max="5" width="10" style="1759" hidden="1" customWidth="1"/>
    <col min="6" max="6" width="8.7109375" style="1759" hidden="1" customWidth="1"/>
    <col min="7" max="7" width="7.5703125" style="1759" hidden="1" customWidth="1"/>
    <col min="8" max="8" width="11.42578125" style="1759" hidden="1" customWidth="1"/>
    <col min="9" max="9" width="12" style="1759" hidden="1" customWidth="1"/>
    <col min="10" max="10" width="9.85546875" style="1759" hidden="1" customWidth="1"/>
    <col min="11" max="11" width="11.42578125" style="1759" hidden="1" customWidth="1"/>
    <col min="12" max="12" width="19.140625" style="1758" hidden="1" customWidth="1"/>
    <col min="13" max="14" width="12.28515625" style="1686" hidden="1" customWidth="1"/>
    <col min="15" max="15" width="23.42578125" style="1686" hidden="1" customWidth="1"/>
    <col min="16" max="16" width="3.7109375" style="1740" hidden="1" customWidth="1"/>
    <col min="17" max="18" width="3.7109375" style="1677" customWidth="1"/>
    <col min="19" max="19" width="12.7109375" style="1727" customWidth="1"/>
    <col min="20" max="20" width="32" style="1846" customWidth="1"/>
    <col min="21" max="21" width="0.140625" style="1846" customWidth="1"/>
    <col min="22" max="22" width="24.7109375" style="1846" hidden="1" customWidth="1"/>
    <col min="23" max="23" width="0.140625" style="1846" hidden="1" customWidth="1"/>
    <col min="24" max="25" width="24.7109375" style="1846" hidden="1" customWidth="1"/>
    <col min="26" max="26" width="11.7109375" style="1846" hidden="1" customWidth="1"/>
    <col min="27" max="27" width="3.7109375" style="1846" hidden="1" customWidth="1"/>
    <col min="28" max="28" width="11.7109375" style="1846" hidden="1" customWidth="1"/>
    <col min="29" max="29" width="8.5703125" style="1846" hidden="1" customWidth="1"/>
    <col min="30" max="30" width="24.7109375" style="1846" customWidth="1"/>
    <col min="31" max="31" width="0.140625" style="1846" customWidth="1"/>
    <col min="32" max="33" width="24.7109375" style="1846" customWidth="1"/>
    <col min="34" max="34" width="11.7109375" style="1846" customWidth="1"/>
    <col min="35" max="35" width="3.7109375" style="1846" customWidth="1"/>
    <col min="36" max="36" width="11.7109375" style="1846" customWidth="1"/>
    <col min="37" max="37" width="8.5703125" style="1846" hidden="1" customWidth="1"/>
    <col min="38" max="38" width="4.7109375" style="1846" customWidth="1"/>
    <col min="39" max="39" width="115.7109375" style="1846" customWidth="1"/>
    <col min="40" max="41" width="10.5703125" style="1772"/>
    <col min="42" max="42" width="11.140625" style="1772" customWidth="1"/>
    <col min="43" max="44" width="10.5703125" style="1772"/>
  </cols>
  <sheetData>
    <row r="1" spans="1:44" ht="14.25" hidden="1" customHeight="1">
      <c r="Y1" s="254"/>
      <c r="Z1" s="254"/>
      <c r="AG1" s="254"/>
      <c r="AH1" s="254"/>
    </row>
    <row r="2" spans="1:44" ht="21" hidden="1" customHeight="1">
      <c r="A2" s="1244"/>
      <c r="B2" s="1244"/>
      <c r="C2" s="1244"/>
      <c r="D2" s="1244"/>
      <c r="E2" s="2235">
        <v>1</v>
      </c>
      <c r="F2" s="1244"/>
      <c r="G2" s="1244"/>
      <c r="H2" s="1244"/>
      <c r="I2" s="1244"/>
      <c r="J2" s="1244"/>
      <c r="K2" s="1244"/>
      <c r="L2" s="1245"/>
      <c r="M2" s="1246"/>
      <c r="N2" s="1246"/>
      <c r="O2" s="1246"/>
      <c r="P2" s="285"/>
      <c r="Q2" s="284"/>
      <c r="R2" s="279"/>
      <c r="S2" s="1221" t="e">
        <f>INDEX(PT_DIFFERENTIATION_NUM_NTAR,MATCH(A2,PT_DIFFERENTIATION_NTAR_ID,0))</f>
        <v>#N/A</v>
      </c>
      <c r="T2" s="216" t="s">
        <v>124</v>
      </c>
      <c r="U2" s="218"/>
      <c r="V2" s="2229"/>
      <c r="W2" s="2230"/>
      <c r="X2" s="2230"/>
      <c r="Y2" s="2230"/>
      <c r="Z2" s="2230"/>
      <c r="AA2" s="2230"/>
      <c r="AB2" s="2230"/>
      <c r="AC2" s="2231"/>
      <c r="AD2" s="2229" t="e">
        <f>INDEX(PT_DIFFERENTIATION_NTAR,MATCH(A2,PT_DIFFERENTIATION_NTAR_ID,0))</f>
        <v>#N/A</v>
      </c>
      <c r="AE2" s="2230"/>
      <c r="AF2" s="2230"/>
      <c r="AG2" s="2230"/>
      <c r="AH2" s="2230"/>
      <c r="AI2" s="2230"/>
      <c r="AJ2" s="2230"/>
      <c r="AK2" s="2230"/>
      <c r="AL2" s="2231"/>
      <c r="AM2" s="1140" t="s">
        <v>1460</v>
      </c>
      <c r="AO2" s="428"/>
      <c r="AP2" s="428" t="str">
        <f t="shared" ref="AP2:AP15" si="0">IF(T2="","",T2)</f>
        <v>Наименование тарифа</v>
      </c>
      <c r="AQ2" s="428"/>
      <c r="AR2" s="428"/>
    </row>
    <row r="3" spans="1:44" ht="21" hidden="1" customHeight="1">
      <c r="A3" s="1244"/>
      <c r="B3" s="1244"/>
      <c r="C3" s="1244"/>
      <c r="D3" s="1244"/>
      <c r="E3" s="2236"/>
      <c r="F3" s="2235">
        <v>1</v>
      </c>
      <c r="G3" s="1244"/>
      <c r="H3" s="1244"/>
      <c r="I3" s="1244"/>
      <c r="J3" s="1244"/>
      <c r="K3" s="1244"/>
      <c r="L3" s="1245"/>
      <c r="M3" s="1246"/>
      <c r="N3" s="1246"/>
      <c r="O3" s="1246"/>
      <c r="P3" s="1217"/>
      <c r="Q3" s="276"/>
      <c r="R3" s="277"/>
      <c r="S3" s="1221" t="e">
        <f>INDEX(PT_DIFFERENTIATION_NUM_TER,MATCH(B3,PT_DIFFERENTIATION_TER_ID,0))</f>
        <v>#N/A</v>
      </c>
      <c r="T3" s="228" t="s">
        <v>1461</v>
      </c>
      <c r="U3" s="218"/>
      <c r="V3" s="2229"/>
      <c r="W3" s="2230"/>
      <c r="X3" s="2230"/>
      <c r="Y3" s="2230"/>
      <c r="Z3" s="2230"/>
      <c r="AA3" s="2230"/>
      <c r="AB3" s="2230"/>
      <c r="AC3" s="2231"/>
      <c r="AD3" s="2229" t="e">
        <f>INDEX(PT_DIFFERENTIATION_TER,MATCH(B3,PT_DIFFERENTIATION_TER_ID,0))</f>
        <v>#N/A</v>
      </c>
      <c r="AE3" s="2230"/>
      <c r="AF3" s="2230"/>
      <c r="AG3" s="2230"/>
      <c r="AH3" s="2230"/>
      <c r="AI3" s="2230"/>
      <c r="AJ3" s="2230"/>
      <c r="AK3" s="2230"/>
      <c r="AL3" s="2231"/>
      <c r="AM3" s="1140" t="s">
        <v>1462</v>
      </c>
      <c r="AO3" s="428"/>
      <c r="AP3" s="428" t="str">
        <f t="shared" si="0"/>
        <v>Территория действия тарифа</v>
      </c>
      <c r="AQ3" s="428"/>
      <c r="AR3" s="428"/>
    </row>
    <row r="4" spans="1:44" ht="23.25" hidden="1" customHeight="1">
      <c r="A4" s="1244"/>
      <c r="B4" s="1244"/>
      <c r="C4" s="1244"/>
      <c r="D4" s="1244"/>
      <c r="E4" s="2236"/>
      <c r="F4" s="2236"/>
      <c r="G4" s="2235">
        <v>1</v>
      </c>
      <c r="H4" s="1244"/>
      <c r="I4" s="1244"/>
      <c r="J4" s="1244"/>
      <c r="K4" s="1244"/>
      <c r="L4" s="1245"/>
      <c r="M4" s="1246"/>
      <c r="N4" s="1246"/>
      <c r="O4" s="1246"/>
      <c r="P4" s="278"/>
      <c r="Q4" s="276"/>
      <c r="R4" s="277"/>
      <c r="S4" s="1221" t="e">
        <f>INDEX(PT_DIFFERENTIATION_NUM_CS,MATCH(C4,PT_DIFFERENTIATION_CS_ID,0))</f>
        <v>#N/A</v>
      </c>
      <c r="T4" s="229" t="s">
        <v>1463</v>
      </c>
      <c r="U4" s="218"/>
      <c r="V4" s="2229"/>
      <c r="W4" s="2230"/>
      <c r="X4" s="2230"/>
      <c r="Y4" s="2230"/>
      <c r="Z4" s="2230"/>
      <c r="AA4" s="2230"/>
      <c r="AB4" s="2230"/>
      <c r="AC4" s="2231"/>
      <c r="AD4" s="2229" t="e">
        <f>INDEX(PT_DIFFERENTIATION_CS,MATCH(C4,PT_DIFFERENTIATION_CS_ID,0))</f>
        <v>#N/A</v>
      </c>
      <c r="AE4" s="2230"/>
      <c r="AF4" s="2230"/>
      <c r="AG4" s="2230"/>
      <c r="AH4" s="2230"/>
      <c r="AI4" s="2230"/>
      <c r="AJ4" s="2230"/>
      <c r="AK4" s="2230"/>
      <c r="AL4" s="2231"/>
      <c r="AM4" s="1140" t="s">
        <v>1464</v>
      </c>
      <c r="AO4" s="428"/>
      <c r="AP4" s="428" t="str">
        <f t="shared" si="0"/>
        <v xml:space="preserve">Наименование системы теплоснабжения </v>
      </c>
      <c r="AQ4" s="428"/>
      <c r="AR4" s="428"/>
    </row>
    <row r="5" spans="1:44" ht="21" hidden="1" customHeight="1">
      <c r="A5" s="1244"/>
      <c r="B5" s="1244"/>
      <c r="C5" s="1244"/>
      <c r="D5" s="1244"/>
      <c r="E5" s="2236"/>
      <c r="F5" s="2236"/>
      <c r="G5" s="2236"/>
      <c r="H5" s="2235">
        <v>1</v>
      </c>
      <c r="I5" s="1244"/>
      <c r="J5" s="1244"/>
      <c r="K5" s="1244"/>
      <c r="L5" s="1245"/>
      <c r="M5" s="1246"/>
      <c r="N5" s="1246"/>
      <c r="O5" s="1246"/>
      <c r="P5" s="278"/>
      <c r="Q5" s="276"/>
      <c r="R5" s="277"/>
      <c r="S5" s="1221" t="e">
        <f>INDEX(PT_DIFFERENTIATION_NUM_IST_TE,MATCH(D5,PT_DIFFERENTIATION_IST_TE_ID,0))</f>
        <v>#N/A</v>
      </c>
      <c r="T5" s="230" t="s">
        <v>1465</v>
      </c>
      <c r="U5" s="218"/>
      <c r="V5" s="2229"/>
      <c r="W5" s="2230"/>
      <c r="X5" s="2230"/>
      <c r="Y5" s="2230"/>
      <c r="Z5" s="2230"/>
      <c r="AA5" s="2230"/>
      <c r="AB5" s="2230"/>
      <c r="AC5" s="2231"/>
      <c r="AD5" s="2229" t="e">
        <f>INDEX(PT_DIFFERENTIATION_IST_TE,MATCH(D5,PT_DIFFERENTIATION_IST_TE_ID,0))</f>
        <v>#N/A</v>
      </c>
      <c r="AE5" s="2230"/>
      <c r="AF5" s="2230"/>
      <c r="AG5" s="2230"/>
      <c r="AH5" s="2230"/>
      <c r="AI5" s="2230"/>
      <c r="AJ5" s="2230"/>
      <c r="AK5" s="2230"/>
      <c r="AL5" s="2231"/>
      <c r="AM5" s="1140" t="s">
        <v>1466</v>
      </c>
      <c r="AO5" s="428"/>
      <c r="AP5" s="428" t="str">
        <f t="shared" si="0"/>
        <v xml:space="preserve">Источник тепловой энергии  </v>
      </c>
      <c r="AQ5" s="428"/>
      <c r="AR5" s="428"/>
    </row>
    <row r="6" spans="1:44" ht="14.25" hidden="1" customHeight="1">
      <c r="A6" s="1244"/>
      <c r="B6" s="1244"/>
      <c r="C6" s="1244"/>
      <c r="D6" s="1244"/>
      <c r="E6" s="2236"/>
      <c r="F6" s="2236"/>
      <c r="G6" s="2236"/>
      <c r="H6" s="2236"/>
      <c r="I6" s="2237" t="e">
        <f>S5&amp;".1"</f>
        <v>#N/A</v>
      </c>
      <c r="J6" s="1244"/>
      <c r="K6" s="1244"/>
      <c r="L6" s="1245" t="s">
        <v>1467</v>
      </c>
      <c r="M6" s="464"/>
      <c r="P6" s="2157">
        <v>1</v>
      </c>
      <c r="Q6" s="1216"/>
      <c r="R6" s="280"/>
      <c r="S6" s="932"/>
      <c r="T6" s="1263"/>
      <c r="U6" s="1264"/>
      <c r="V6" s="2263"/>
      <c r="W6" s="2264"/>
      <c r="X6" s="2264"/>
      <c r="Y6" s="2264"/>
      <c r="Z6" s="2264"/>
      <c r="AA6" s="2264"/>
      <c r="AB6" s="2264"/>
      <c r="AC6" s="2265"/>
      <c r="AD6" s="2263"/>
      <c r="AE6" s="2264"/>
      <c r="AF6" s="2264"/>
      <c r="AG6" s="2264"/>
      <c r="AH6" s="2264"/>
      <c r="AI6" s="2264"/>
      <c r="AJ6" s="2264"/>
      <c r="AK6" s="2264"/>
      <c r="AL6" s="2265"/>
      <c r="AM6" s="1265"/>
      <c r="AO6" s="428"/>
      <c r="AP6" s="428" t="str">
        <f t="shared" si="0"/>
        <v/>
      </c>
      <c r="AQ6" s="428"/>
      <c r="AR6" s="428"/>
    </row>
    <row r="7" spans="1:44" ht="21" hidden="1" customHeight="1">
      <c r="A7" s="1244"/>
      <c r="B7" s="1244"/>
      <c r="C7" s="1244"/>
      <c r="D7" s="1244"/>
      <c r="E7" s="2236"/>
      <c r="F7" s="2236"/>
      <c r="G7" s="2236"/>
      <c r="H7" s="2236"/>
      <c r="I7" s="2238"/>
      <c r="J7" s="2237" t="e">
        <f>I6&amp;".1"</f>
        <v>#N/A</v>
      </c>
      <c r="K7" s="1244"/>
      <c r="L7" s="1245" t="s">
        <v>1470</v>
      </c>
      <c r="M7" s="464"/>
      <c r="N7" s="1247"/>
      <c r="P7" s="2157"/>
      <c r="Q7" s="2157">
        <v>1</v>
      </c>
      <c r="R7" s="281"/>
      <c r="S7" s="1221" t="e">
        <f>$J7</f>
        <v>#N/A</v>
      </c>
      <c r="T7" s="204" t="s">
        <v>1471</v>
      </c>
      <c r="U7" s="218"/>
      <c r="V7" s="2224"/>
      <c r="W7" s="2225"/>
      <c r="X7" s="2225"/>
      <c r="Y7" s="2225"/>
      <c r="Z7" s="2225"/>
      <c r="AA7" s="2225"/>
      <c r="AB7" s="2225"/>
      <c r="AC7" s="2226"/>
      <c r="AD7" s="2224"/>
      <c r="AE7" s="2225"/>
      <c r="AF7" s="2225"/>
      <c r="AG7" s="2225"/>
      <c r="AH7" s="2225"/>
      <c r="AI7" s="2225"/>
      <c r="AJ7" s="2225"/>
      <c r="AK7" s="2225"/>
      <c r="AL7" s="2226"/>
      <c r="AM7" s="1140" t="s">
        <v>1472</v>
      </c>
      <c r="AO7" s="428"/>
      <c r="AP7" s="428" t="str">
        <f t="shared" si="0"/>
        <v>Группа потребителей</v>
      </c>
      <c r="AQ7" s="428"/>
      <c r="AR7" s="428"/>
    </row>
    <row r="8" spans="1:44" ht="21" hidden="1" customHeight="1">
      <c r="A8" s="1244"/>
      <c r="B8" s="1244"/>
      <c r="C8" s="1244"/>
      <c r="D8" s="1244"/>
      <c r="E8" s="2236"/>
      <c r="F8" s="2236"/>
      <c r="G8" s="2236"/>
      <c r="H8" s="2236"/>
      <c r="I8" s="2238"/>
      <c r="J8" s="2238"/>
      <c r="K8" s="2237" t="e">
        <f>J7&amp;".1"</f>
        <v>#N/A</v>
      </c>
      <c r="L8" s="1245" t="s">
        <v>1473</v>
      </c>
      <c r="M8" s="464"/>
      <c r="N8" s="1247"/>
      <c r="O8" s="1247"/>
      <c r="P8" s="2157"/>
      <c r="Q8" s="2157"/>
      <c r="R8" s="281">
        <v>1</v>
      </c>
      <c r="S8" s="1221" t="e">
        <f>$K8</f>
        <v>#N/A</v>
      </c>
      <c r="T8" s="1232"/>
      <c r="U8" s="218"/>
      <c r="V8" s="1667"/>
      <c r="W8" s="1668"/>
      <c r="X8" s="1667"/>
      <c r="Y8" s="1669"/>
      <c r="Z8" s="2239"/>
      <c r="AA8" s="2031" t="s">
        <v>66</v>
      </c>
      <c r="AB8" s="2239"/>
      <c r="AC8" s="2031" t="s">
        <v>66</v>
      </c>
      <c r="AD8" s="1667"/>
      <c r="AE8" s="1668"/>
      <c r="AF8" s="1667"/>
      <c r="AG8" s="1669"/>
      <c r="AH8" s="2239"/>
      <c r="AI8" s="2031" t="s">
        <v>66</v>
      </c>
      <c r="AJ8" s="2239"/>
      <c r="AK8" s="2031" t="s">
        <v>66</v>
      </c>
      <c r="AL8" s="1668"/>
      <c r="AM8" s="2257" t="s">
        <v>1474</v>
      </c>
      <c r="AN8" s="439" t="e">
        <f ca="1">STRCHECKDATE(V9:AL9)</f>
        <v>#NAME?</v>
      </c>
      <c r="AO8" s="428"/>
      <c r="AP8" s="428" t="str">
        <f t="shared" si="0"/>
        <v/>
      </c>
      <c r="AQ8" s="428"/>
      <c r="AR8" s="428"/>
    </row>
    <row r="9" spans="1:44" ht="0.75" hidden="1" customHeight="1">
      <c r="A9" s="1244"/>
      <c r="B9" s="1244"/>
      <c r="C9" s="1244"/>
      <c r="D9" s="1244"/>
      <c r="E9" s="2236"/>
      <c r="F9" s="2236"/>
      <c r="G9" s="2236"/>
      <c r="H9" s="2236"/>
      <c r="I9" s="2238"/>
      <c r="J9" s="2238"/>
      <c r="K9" s="2237"/>
      <c r="L9" s="1245"/>
      <c r="M9" s="464"/>
      <c r="N9" s="1247"/>
      <c r="O9" s="1247"/>
      <c r="P9" s="2157"/>
      <c r="Q9" s="2157"/>
      <c r="R9" s="281"/>
      <c r="S9" s="1227"/>
      <c r="T9" s="218"/>
      <c r="U9" s="218"/>
      <c r="V9" s="1668"/>
      <c r="W9" s="1668"/>
      <c r="X9" s="1668"/>
      <c r="Y9" s="1670" t="str">
        <f>Z8&amp;"-"&amp;AB8</f>
        <v>-</v>
      </c>
      <c r="Z9" s="2240"/>
      <c r="AA9" s="2031"/>
      <c r="AB9" s="2240"/>
      <c r="AC9" s="2031"/>
      <c r="AD9" s="1668"/>
      <c r="AE9" s="1668"/>
      <c r="AF9" s="1668"/>
      <c r="AG9" s="1670" t="str">
        <f>AH8&amp;"-"&amp;AJ8</f>
        <v>-</v>
      </c>
      <c r="AH9" s="2240"/>
      <c r="AI9" s="2031"/>
      <c r="AJ9" s="2240"/>
      <c r="AK9" s="2031"/>
      <c r="AL9" s="1668"/>
      <c r="AM9" s="2258"/>
      <c r="AO9" s="428"/>
      <c r="AP9" s="428" t="str">
        <f t="shared" si="0"/>
        <v/>
      </c>
      <c r="AQ9" s="428"/>
      <c r="AR9" s="428"/>
    </row>
    <row r="10" spans="1:44" ht="15" hidden="1" customHeight="1">
      <c r="A10" s="1244"/>
      <c r="B10" s="1244"/>
      <c r="C10" s="1244"/>
      <c r="D10" s="1244"/>
      <c r="E10" s="2236"/>
      <c r="F10" s="2236"/>
      <c r="G10" s="2236"/>
      <c r="H10" s="2236"/>
      <c r="I10" s="2238"/>
      <c r="J10" s="2237"/>
      <c r="K10" s="1244"/>
      <c r="L10" s="1245"/>
      <c r="M10" s="464"/>
      <c r="N10" s="1247"/>
      <c r="P10" s="2157"/>
      <c r="Q10" s="2157"/>
      <c r="R10" s="280"/>
      <c r="S10" s="1161"/>
      <c r="T10" s="205" t="s">
        <v>1475</v>
      </c>
      <c r="U10" s="294"/>
      <c r="V10" s="294"/>
      <c r="W10" s="294"/>
      <c r="X10" s="294"/>
      <c r="Y10" s="294"/>
      <c r="Z10" s="294"/>
      <c r="AA10" s="294"/>
      <c r="AB10" s="294"/>
      <c r="AC10" s="294"/>
      <c r="AD10" s="294"/>
      <c r="AE10" s="294"/>
      <c r="AF10" s="294"/>
      <c r="AG10" s="294"/>
      <c r="AH10" s="294"/>
      <c r="AI10" s="294"/>
      <c r="AJ10" s="294"/>
      <c r="AK10" s="294"/>
      <c r="AL10" s="251"/>
      <c r="AM10" s="2259"/>
      <c r="AO10" s="428"/>
      <c r="AP10" s="428" t="str">
        <f t="shared" si="0"/>
        <v>Добавить вид теплоносителя (параметры теплоносителя)</v>
      </c>
      <c r="AQ10" s="428"/>
      <c r="AR10" s="428"/>
    </row>
    <row r="11" spans="1:44" ht="15" hidden="1" customHeight="1">
      <c r="A11" s="1244"/>
      <c r="B11" s="1244"/>
      <c r="C11" s="1244"/>
      <c r="D11" s="1244"/>
      <c r="E11" s="2236"/>
      <c r="F11" s="2236"/>
      <c r="G11" s="2236"/>
      <c r="H11" s="2236"/>
      <c r="I11" s="2237"/>
      <c r="J11" s="1244"/>
      <c r="K11" s="1244"/>
      <c r="L11" s="1245"/>
      <c r="M11" s="464"/>
      <c r="P11" s="2157"/>
      <c r="Q11" s="1216"/>
      <c r="R11" s="280"/>
      <c r="S11" s="1161"/>
      <c r="T11" s="291" t="s">
        <v>1476</v>
      </c>
      <c r="U11" s="294"/>
      <c r="V11" s="294"/>
      <c r="W11" s="294"/>
      <c r="X11" s="294"/>
      <c r="Y11" s="294"/>
      <c r="Z11" s="294"/>
      <c r="AA11" s="294"/>
      <c r="AB11" s="294"/>
      <c r="AC11" s="293"/>
      <c r="AD11" s="294"/>
      <c r="AE11" s="294"/>
      <c r="AF11" s="294"/>
      <c r="AG11" s="294"/>
      <c r="AH11" s="294"/>
      <c r="AI11" s="294"/>
      <c r="AJ11" s="294"/>
      <c r="AK11" s="293"/>
      <c r="AL11" s="294"/>
      <c r="AM11" s="221"/>
      <c r="AO11" s="428"/>
      <c r="AP11" s="428" t="str">
        <f t="shared" si="0"/>
        <v>Добавить группу потребителей</v>
      </c>
      <c r="AQ11" s="428"/>
      <c r="AR11" s="428"/>
    </row>
    <row r="12" spans="1:44" ht="14.25" hidden="1" customHeight="1">
      <c r="A12" s="1244"/>
      <c r="B12" s="1244"/>
      <c r="C12" s="1244"/>
      <c r="D12" s="1244"/>
      <c r="E12" s="2236"/>
      <c r="F12" s="2236"/>
      <c r="G12" s="2236"/>
      <c r="H12" s="2235"/>
      <c r="I12" s="1244"/>
      <c r="J12" s="1244"/>
      <c r="K12" s="1244"/>
      <c r="L12" s="1245"/>
      <c r="M12" s="1246"/>
      <c r="N12" s="1246"/>
      <c r="O12" s="464"/>
      <c r="P12" s="284"/>
      <c r="Q12" s="303"/>
      <c r="R12" s="279"/>
      <c r="S12" s="1266"/>
      <c r="T12" s="1267"/>
      <c r="U12" s="1268"/>
      <c r="V12" s="1268"/>
      <c r="W12" s="1268"/>
      <c r="X12" s="1268"/>
      <c r="Y12" s="1268"/>
      <c r="Z12" s="1268"/>
      <c r="AA12" s="1268"/>
      <c r="AB12" s="1268"/>
      <c r="AC12" s="1268"/>
      <c r="AD12" s="1268"/>
      <c r="AE12" s="1268"/>
      <c r="AF12" s="1268"/>
      <c r="AG12" s="1268"/>
      <c r="AH12" s="1268"/>
      <c r="AI12" s="1268"/>
      <c r="AJ12" s="1268"/>
      <c r="AK12" s="1268"/>
      <c r="AL12" s="1268"/>
      <c r="AM12" s="1269"/>
      <c r="AO12" s="428"/>
      <c r="AP12" s="428" t="str">
        <f t="shared" si="0"/>
        <v/>
      </c>
      <c r="AQ12" s="428"/>
      <c r="AR12" s="428"/>
    </row>
    <row r="13" spans="1:44" s="1772" customFormat="1" ht="0.75" hidden="1" customHeight="1">
      <c r="A13" s="1200"/>
      <c r="B13" s="1200"/>
      <c r="C13" s="1200"/>
      <c r="D13" s="1200"/>
      <c r="E13" s="2236"/>
      <c r="F13" s="2236"/>
      <c r="G13" s="2235"/>
      <c r="H13" s="1200"/>
      <c r="I13" s="1200"/>
      <c r="J13" s="1200"/>
      <c r="K13" s="1200"/>
      <c r="L13" s="1224"/>
      <c r="M13" s="1201"/>
      <c r="N13" s="1201"/>
      <c r="P13" s="1202"/>
      <c r="Q13" s="1203"/>
      <c r="R13" s="1202"/>
      <c r="S13" s="1204"/>
      <c r="T13" s="1205" t="s">
        <v>1436</v>
      </c>
      <c r="U13" s="1206"/>
      <c r="V13" s="1206"/>
      <c r="W13" s="1206"/>
      <c r="X13" s="1206"/>
      <c r="Y13" s="1206"/>
      <c r="Z13" s="1206"/>
      <c r="AA13" s="1206"/>
      <c r="AB13" s="1206"/>
      <c r="AC13" s="1206"/>
      <c r="AD13" s="1206"/>
      <c r="AE13" s="1206"/>
      <c r="AF13" s="1206"/>
      <c r="AG13" s="1206"/>
      <c r="AH13" s="1206"/>
      <c r="AI13" s="1206"/>
      <c r="AJ13" s="1206"/>
      <c r="AK13" s="1206"/>
      <c r="AL13" s="1206"/>
      <c r="AM13" s="1206"/>
      <c r="AO13" s="696"/>
      <c r="AP13" s="696" t="str">
        <f t="shared" si="0"/>
        <v>Добавить источник для дифференциации</v>
      </c>
      <c r="AQ13" s="696"/>
      <c r="AR13" s="696"/>
    </row>
    <row r="14" spans="1:44" s="1772" customFormat="1" ht="0.75" hidden="1" customHeight="1">
      <c r="A14" s="1200"/>
      <c r="B14" s="1200"/>
      <c r="C14" s="1200"/>
      <c r="D14" s="1200"/>
      <c r="E14" s="2236"/>
      <c r="F14" s="2235"/>
      <c r="G14" s="1200"/>
      <c r="H14" s="1200"/>
      <c r="I14" s="1200"/>
      <c r="J14" s="1200"/>
      <c r="K14" s="1200"/>
      <c r="L14" s="1224"/>
      <c r="M14" s="1207"/>
      <c r="N14" s="1207"/>
      <c r="P14" s="1202"/>
      <c r="Q14" s="1203"/>
      <c r="R14" s="1202"/>
      <c r="S14" s="1208"/>
      <c r="T14" s="1209" t="s">
        <v>1437</v>
      </c>
      <c r="U14" s="1210"/>
      <c r="V14" s="1210"/>
      <c r="W14" s="1210"/>
      <c r="X14" s="1210"/>
      <c r="Y14" s="1210"/>
      <c r="Z14" s="1210"/>
      <c r="AA14" s="1210"/>
      <c r="AB14" s="1210"/>
      <c r="AC14" s="1210"/>
      <c r="AD14" s="1210"/>
      <c r="AE14" s="1210"/>
      <c r="AF14" s="1210"/>
      <c r="AG14" s="1210"/>
      <c r="AH14" s="1210"/>
      <c r="AI14" s="1210"/>
      <c r="AJ14" s="1210"/>
      <c r="AK14" s="1210"/>
      <c r="AL14" s="1210"/>
      <c r="AM14" s="1210"/>
      <c r="AO14" s="696"/>
      <c r="AP14" s="696" t="str">
        <f t="shared" si="0"/>
        <v>Добавить централизованную систему для дифференциации</v>
      </c>
      <c r="AQ14" s="696"/>
      <c r="AR14" s="696"/>
    </row>
    <row r="15" spans="1:44" s="1772" customFormat="1" ht="0.75" hidden="1" customHeight="1">
      <c r="A15" s="1200"/>
      <c r="B15" s="1200"/>
      <c r="C15" s="1200"/>
      <c r="D15" s="1200"/>
      <c r="E15" s="2235"/>
      <c r="F15" s="1200"/>
      <c r="G15" s="1200"/>
      <c r="H15" s="1200"/>
      <c r="I15" s="1200"/>
      <c r="J15" s="1200"/>
      <c r="K15" s="1200"/>
      <c r="L15" s="1224"/>
      <c r="M15" s="1207"/>
      <c r="N15" s="1207"/>
      <c r="P15" s="1202"/>
      <c r="Q15" s="1203"/>
      <c r="R15" s="1202"/>
      <c r="S15" s="1208"/>
      <c r="T15" s="1211" t="s">
        <v>1438</v>
      </c>
      <c r="U15" s="1210"/>
      <c r="V15" s="1210"/>
      <c r="W15" s="1210"/>
      <c r="X15" s="1210"/>
      <c r="Y15" s="1210"/>
      <c r="Z15" s="1210"/>
      <c r="AA15" s="1210"/>
      <c r="AB15" s="1210"/>
      <c r="AC15" s="1210"/>
      <c r="AD15" s="1210"/>
      <c r="AE15" s="1210"/>
      <c r="AF15" s="1210"/>
      <c r="AG15" s="1210"/>
      <c r="AH15" s="1210"/>
      <c r="AI15" s="1210"/>
      <c r="AJ15" s="1210"/>
      <c r="AK15" s="1210"/>
      <c r="AL15" s="1210"/>
      <c r="AM15" s="1210"/>
      <c r="AO15" s="696"/>
      <c r="AP15" s="696" t="str">
        <f t="shared" si="0"/>
        <v>Добавить территорию для дифференциации</v>
      </c>
      <c r="AQ15" s="696"/>
      <c r="AR15" s="696"/>
    </row>
    <row r="16" spans="1:44" ht="14.25" hidden="1" customHeight="1">
      <c r="AC16" s="254"/>
      <c r="AK16" s="254"/>
    </row>
    <row r="17" spans="1:44" ht="14.25" hidden="1" customHeight="1">
      <c r="AD17" s="1671"/>
      <c r="AE17" s="1671"/>
      <c r="AF17" s="1671"/>
      <c r="AG17" s="1672"/>
      <c r="AH17" s="2233"/>
      <c r="AI17" s="2232" t="s">
        <v>66</v>
      </c>
      <c r="AJ17" s="2233"/>
      <c r="AK17" s="2232" t="s">
        <v>66</v>
      </c>
    </row>
    <row r="18" spans="1:44" ht="14.25" hidden="1" customHeight="1">
      <c r="AD18" s="1671"/>
      <c r="AE18" s="1671"/>
      <c r="AF18" s="1671"/>
      <c r="AG18" s="1670" t="str">
        <f>AH17&amp;"-"&amp;AJ17</f>
        <v>-</v>
      </c>
      <c r="AH18" s="2232"/>
      <c r="AI18" s="2232"/>
      <c r="AJ18" s="2232"/>
      <c r="AK18" s="2232"/>
    </row>
    <row r="19" spans="1:44" ht="14.25" hidden="1" customHeight="1">
      <c r="AK19" s="254"/>
    </row>
    <row r="20" spans="1:44" s="1759" customFormat="1" ht="22.5" hidden="1" customHeight="1">
      <c r="L20" s="1214"/>
      <c r="M20" s="1243"/>
      <c r="N20" s="1243"/>
      <c r="O20" s="1248" t="s">
        <v>1478</v>
      </c>
      <c r="P20" s="1243"/>
      <c r="Q20" s="1252"/>
      <c r="R20" s="1252"/>
      <c r="S20" s="644"/>
      <c r="Z20" s="1248"/>
      <c r="AB20" s="1248"/>
      <c r="AC20" s="1247"/>
      <c r="AH20" s="1248"/>
      <c r="AJ20" s="1248"/>
      <c r="AK20" s="1247"/>
      <c r="AN20" s="439"/>
      <c r="AO20" s="439"/>
      <c r="AP20" s="439"/>
      <c r="AQ20" s="439"/>
      <c r="AR20" s="439"/>
    </row>
    <row r="21" spans="1:44" s="1759" customFormat="1" ht="14.25" hidden="1" customHeight="1">
      <c r="L21" s="1214"/>
      <c r="M21" s="1243"/>
      <c r="N21" s="1243"/>
      <c r="O21" s="1243"/>
      <c r="P21" s="1243"/>
      <c r="Q21" s="1252"/>
      <c r="R21" s="1252"/>
      <c r="S21" s="644"/>
      <c r="AC21" s="1247"/>
      <c r="AK21" s="1247"/>
      <c r="AN21" s="439"/>
      <c r="AO21" s="439"/>
      <c r="AP21" s="439"/>
      <c r="AQ21" s="439"/>
      <c r="AR21" s="439"/>
    </row>
    <row r="22" spans="1:44" s="1759" customFormat="1" ht="14.25" hidden="1" customHeight="1">
      <c r="L22" s="1214"/>
      <c r="M22" s="1243"/>
      <c r="N22" s="1243"/>
      <c r="O22" s="1245" t="s">
        <v>1479</v>
      </c>
      <c r="P22" s="1243"/>
      <c r="Q22" s="1252"/>
      <c r="R22" s="1252"/>
      <c r="S22" s="644"/>
      <c r="T22" s="1036" t="s">
        <v>1480</v>
      </c>
      <c r="AA22" s="111" t="s">
        <v>1481</v>
      </c>
      <c r="AC22" s="111" t="s">
        <v>1482</v>
      </c>
      <c r="AD22" s="1036" t="s">
        <v>1480</v>
      </c>
      <c r="AI22" s="111" t="s">
        <v>1483</v>
      </c>
      <c r="AK22" s="111" t="s">
        <v>1482</v>
      </c>
      <c r="AN22" s="439"/>
      <c r="AO22" s="439"/>
      <c r="AP22" s="439"/>
      <c r="AQ22" s="439"/>
      <c r="AR22" s="439"/>
    </row>
    <row r="23" spans="1:44" ht="14.25" hidden="1" customHeight="1">
      <c r="O23" s="1245"/>
    </row>
    <row r="24" spans="1:44" ht="14.25" hidden="1" customHeight="1">
      <c r="O24" s="1245"/>
    </row>
    <row r="25" spans="1:44" ht="14.25" customHeight="1">
      <c r="Q25" s="304"/>
      <c r="R25" s="304"/>
      <c r="S25" s="1158"/>
      <c r="T25" s="289"/>
      <c r="U25" s="289"/>
      <c r="V25" s="437"/>
      <c r="W25" s="437"/>
      <c r="X25" s="437"/>
      <c r="Y25" s="437"/>
      <c r="Z25" s="437"/>
      <c r="AA25" s="437"/>
      <c r="AB25" s="437"/>
      <c r="AC25" s="437"/>
      <c r="AD25" s="437"/>
      <c r="AE25" s="437"/>
      <c r="AF25" s="437"/>
      <c r="AG25" s="437"/>
      <c r="AH25" s="437"/>
      <c r="AI25" s="437"/>
      <c r="AJ25" s="437"/>
      <c r="AK25" s="437"/>
    </row>
    <row r="26" spans="1:44" ht="64.5" customHeight="1">
      <c r="Q26" s="304"/>
      <c r="R26" s="304"/>
      <c r="S26" s="2079" t="str">
        <f>IF(TEMPLATE_GROUP="P",PT_P_FORM_HEAT_5_NAME_FORM,PT_R_FORM_HEAT_22_NAME_FORM)</f>
        <v>Форма 22. Информация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"О теплоснабжении" &lt;1&gt;</v>
      </c>
      <c r="T26" s="2079"/>
      <c r="U26" s="2079"/>
      <c r="V26" s="2079"/>
      <c r="W26" s="2079"/>
      <c r="X26" s="2079"/>
      <c r="Y26" s="2079"/>
      <c r="Z26" s="2079"/>
      <c r="AA26" s="2079"/>
      <c r="AB26" s="2079"/>
      <c r="AC26" s="2079"/>
      <c r="AD26" s="2079"/>
      <c r="AE26" s="2079"/>
      <c r="AF26" s="2079"/>
      <c r="AG26" s="2079"/>
      <c r="AH26" s="2079"/>
      <c r="AI26" s="2079"/>
      <c r="AJ26" s="2079"/>
      <c r="AK26" s="1116"/>
    </row>
    <row r="27" spans="1:44" ht="14.25" customHeight="1">
      <c r="Q27" s="304"/>
      <c r="R27" s="304"/>
      <c r="S27" s="2102" t="str">
        <f>IF(org=0,"Не определено",org)</f>
        <v>ООО "Автозаводская ТЭЦ"</v>
      </c>
      <c r="T27" s="2102"/>
      <c r="U27" s="2102"/>
      <c r="V27" s="2102"/>
      <c r="W27" s="2102"/>
      <c r="X27" s="2102"/>
      <c r="Y27" s="2102"/>
      <c r="Z27" s="2102"/>
      <c r="AA27" s="2102"/>
      <c r="AB27" s="2102"/>
      <c r="AC27" s="2102"/>
      <c r="AD27" s="2102"/>
      <c r="AE27" s="2102"/>
      <c r="AF27" s="2102"/>
      <c r="AG27" s="2102"/>
      <c r="AH27" s="2102"/>
      <c r="AI27" s="2102"/>
      <c r="AJ27" s="2102"/>
      <c r="AK27" s="1116"/>
    </row>
    <row r="28" spans="1:44" ht="14.25" hidden="1" customHeight="1">
      <c r="Q28" s="304"/>
      <c r="R28" s="304"/>
      <c r="S28" s="1158"/>
      <c r="T28" s="289"/>
      <c r="U28" s="289"/>
      <c r="V28" s="248"/>
      <c r="W28" s="248"/>
      <c r="X28" s="248"/>
      <c r="Y28" s="248"/>
      <c r="Z28" s="248"/>
      <c r="AA28" s="248"/>
      <c r="AB28" s="248"/>
      <c r="AC28" s="248"/>
      <c r="AD28" s="248"/>
      <c r="AE28" s="248"/>
      <c r="AF28" s="248"/>
      <c r="AG28" s="248"/>
      <c r="AH28" s="248"/>
      <c r="AI28" s="248"/>
      <c r="AJ28" s="248"/>
      <c r="AK28" s="248"/>
      <c r="AL28" s="437"/>
    </row>
    <row r="29" spans="1:44" s="1950" customFormat="1" ht="25.5" hidden="1" customHeight="1">
      <c r="A29" s="1249"/>
      <c r="B29" s="1249"/>
      <c r="C29" s="1249"/>
      <c r="D29" s="1249"/>
      <c r="E29" s="1249"/>
      <c r="F29" s="1249"/>
      <c r="G29" s="1249"/>
      <c r="H29" s="1249"/>
      <c r="I29" s="1249"/>
      <c r="J29" s="1249"/>
      <c r="K29" s="1249"/>
      <c r="L29" s="1250"/>
      <c r="M29" s="1249"/>
      <c r="N29" s="1249"/>
      <c r="O29" s="1249"/>
      <c r="S29" s="2227" t="s">
        <v>38</v>
      </c>
      <c r="T29" s="2227"/>
      <c r="U29" s="1253"/>
      <c r="V29" s="2228" t="str">
        <f>IF(TITLE_NAME_OR_PR_CHANGE="",IF(TITLE_NAME_OR_PR="","",TITLE_NAME_OR_PR),TITLE_NAME_OR_PR_CHANGE)</f>
        <v/>
      </c>
      <c r="W29" s="2228"/>
      <c r="X29" s="2228"/>
      <c r="Y29" s="2228"/>
      <c r="Z29" s="2228"/>
      <c r="AA29" s="2228"/>
      <c r="AB29" s="2228"/>
      <c r="AC29" s="253"/>
      <c r="AD29" s="2228" t="str">
        <f>IF(TITLE_NAME_OR_PR_CHANGE="",IF(TITLE_NAME_OR_PR="","",TITLE_NAME_OR_PR),TITLE_NAME_OR_PR_CHANGE)</f>
        <v/>
      </c>
      <c r="AE29" s="2228"/>
      <c r="AF29" s="2228"/>
      <c r="AG29" s="2228"/>
      <c r="AH29" s="2228"/>
      <c r="AI29" s="2228"/>
      <c r="AJ29" s="2228"/>
      <c r="AK29" s="253"/>
      <c r="AL29" s="253"/>
      <c r="AM29" s="199"/>
      <c r="AN29" s="295"/>
      <c r="AO29" s="295"/>
      <c r="AP29" s="295"/>
      <c r="AQ29" s="295"/>
      <c r="AR29" s="295"/>
    </row>
    <row r="30" spans="1:44" s="1950" customFormat="1" ht="18.75" hidden="1" customHeight="1">
      <c r="A30" s="1249"/>
      <c r="B30" s="1249"/>
      <c r="C30" s="1249"/>
      <c r="D30" s="1249"/>
      <c r="E30" s="1249"/>
      <c r="F30" s="1249"/>
      <c r="G30" s="1249"/>
      <c r="H30" s="1249"/>
      <c r="I30" s="1249"/>
      <c r="J30" s="1249"/>
      <c r="K30" s="1249"/>
      <c r="L30" s="1250"/>
      <c r="M30" s="1249"/>
      <c r="N30" s="1249"/>
      <c r="O30" s="1249"/>
      <c r="S30" s="2227" t="s">
        <v>1484</v>
      </c>
      <c r="T30" s="2227"/>
      <c r="U30" s="1253"/>
      <c r="V30" s="2228" t="str">
        <f>IF(TITLE_DATE_CHANGE_PERIOD="",IF(TITLE_DATE_PR="","",TITLE_DATE_PR),TITLE_DATE_CHANGE_PERIOD)</f>
        <v/>
      </c>
      <c r="W30" s="2228"/>
      <c r="X30" s="2228"/>
      <c r="Y30" s="2228"/>
      <c r="Z30" s="2228"/>
      <c r="AA30" s="2228"/>
      <c r="AB30" s="2228"/>
      <c r="AC30" s="253"/>
      <c r="AD30" s="2228" t="str">
        <f>IF(TITLE_DATE_CHANGE_PERIOD="",IF(TITLE_DATE_PR="","",TITLE_DATE_PR),TITLE_DATE_CHANGE_PERIOD)</f>
        <v/>
      </c>
      <c r="AE30" s="2228"/>
      <c r="AF30" s="2228"/>
      <c r="AG30" s="2228"/>
      <c r="AH30" s="2228"/>
      <c r="AI30" s="2228"/>
      <c r="AJ30" s="2228"/>
      <c r="AK30" s="253"/>
      <c r="AL30" s="253"/>
      <c r="AM30" s="199"/>
      <c r="AN30" s="295"/>
      <c r="AO30" s="295"/>
      <c r="AP30" s="295"/>
      <c r="AQ30" s="295"/>
      <c r="AR30" s="295"/>
    </row>
    <row r="31" spans="1:44" s="1950" customFormat="1" ht="18.75" hidden="1" customHeight="1">
      <c r="A31" s="1249"/>
      <c r="B31" s="1249"/>
      <c r="C31" s="1249"/>
      <c r="D31" s="1249"/>
      <c r="E31" s="1249"/>
      <c r="F31" s="1249"/>
      <c r="G31" s="1249"/>
      <c r="H31" s="1249"/>
      <c r="I31" s="1249"/>
      <c r="J31" s="1249"/>
      <c r="K31" s="1249"/>
      <c r="L31" s="1250"/>
      <c r="M31" s="1249"/>
      <c r="N31" s="1249"/>
      <c r="O31" s="1249"/>
      <c r="S31" s="2227" t="s">
        <v>1485</v>
      </c>
      <c r="T31" s="2227"/>
      <c r="U31" s="1253"/>
      <c r="V31" s="2228" t="str">
        <f>IF(TITLE_NUMBER_PR_CHANGE="",IF(TITLE_NUMBER_PR="","",TITLE_NUMBER_PR),TITLE_NUMBER_PR_CHANGE)</f>
        <v/>
      </c>
      <c r="W31" s="2228"/>
      <c r="X31" s="2228"/>
      <c r="Y31" s="2228"/>
      <c r="Z31" s="2228"/>
      <c r="AA31" s="2228"/>
      <c r="AB31" s="2228"/>
      <c r="AC31" s="253"/>
      <c r="AD31" s="2228" t="str">
        <f>IF(TITLE_NUMBER_PR_CHANGE="",IF(TITLE_NUMBER_PR="","",TITLE_NUMBER_PR),TITLE_NUMBER_PR_CHANGE)</f>
        <v/>
      </c>
      <c r="AE31" s="2228"/>
      <c r="AF31" s="2228"/>
      <c r="AG31" s="2228"/>
      <c r="AH31" s="2228"/>
      <c r="AI31" s="2228"/>
      <c r="AJ31" s="2228"/>
      <c r="AK31" s="253"/>
      <c r="AL31" s="253"/>
      <c r="AM31" s="199"/>
      <c r="AN31" s="295"/>
      <c r="AO31" s="295"/>
      <c r="AP31" s="295"/>
      <c r="AQ31" s="295"/>
      <c r="AR31" s="295"/>
    </row>
    <row r="32" spans="1:44" s="1950" customFormat="1" ht="18.75" hidden="1" customHeight="1">
      <c r="A32" s="1249"/>
      <c r="B32" s="1249"/>
      <c r="C32" s="1249"/>
      <c r="D32" s="1249"/>
      <c r="E32" s="1249"/>
      <c r="F32" s="1249"/>
      <c r="G32" s="1249"/>
      <c r="H32" s="1249"/>
      <c r="I32" s="1249"/>
      <c r="J32" s="1249"/>
      <c r="K32" s="1249"/>
      <c r="L32" s="1250"/>
      <c r="M32" s="1249"/>
      <c r="N32" s="1249"/>
      <c r="O32" s="1249"/>
      <c r="S32" s="2227" t="s">
        <v>39</v>
      </c>
      <c r="T32" s="2227"/>
      <c r="U32" s="1253"/>
      <c r="V32" s="2228" t="str">
        <f>IF(TITLE_IST_PUB_CHANGE="",IF(TITLE_IST_PUB="","",TITLE_IST_PUB),TITLE_IST_PUB_CHANGE)</f>
        <v/>
      </c>
      <c r="W32" s="2228"/>
      <c r="X32" s="2228"/>
      <c r="Y32" s="2228"/>
      <c r="Z32" s="2228"/>
      <c r="AA32" s="2228"/>
      <c r="AB32" s="2228"/>
      <c r="AC32" s="253"/>
      <c r="AD32" s="2228" t="str">
        <f>IF(TITLE_IST_PUB_CHANGE="",IF(TITLE_IST_PUB="","",TITLE_IST_PUB),TITLE_IST_PUB_CHANGE)</f>
        <v/>
      </c>
      <c r="AE32" s="2228"/>
      <c r="AF32" s="2228"/>
      <c r="AG32" s="2228"/>
      <c r="AH32" s="2228"/>
      <c r="AI32" s="2228"/>
      <c r="AJ32" s="2228"/>
      <c r="AK32" s="253"/>
      <c r="AL32" s="253"/>
      <c r="AM32" s="199"/>
      <c r="AN32" s="295"/>
      <c r="AO32" s="295"/>
      <c r="AP32" s="295"/>
      <c r="AQ32" s="295"/>
      <c r="AR32" s="295"/>
    </row>
    <row r="33" spans="1:44" ht="14.25" hidden="1" customHeight="1">
      <c r="Q33" s="304"/>
      <c r="R33" s="304"/>
      <c r="S33" s="1158"/>
      <c r="T33" s="289"/>
      <c r="U33" s="289"/>
      <c r="V33" s="248"/>
      <c r="W33" s="248"/>
      <c r="X33" s="248"/>
      <c r="Y33" s="248"/>
      <c r="Z33" s="248"/>
      <c r="AA33" s="248"/>
      <c r="AB33" s="248"/>
      <c r="AC33" s="248"/>
      <c r="AD33" s="248"/>
      <c r="AE33" s="248"/>
      <c r="AF33" s="248"/>
      <c r="AG33" s="248"/>
      <c r="AH33" s="248"/>
      <c r="AI33" s="248"/>
      <c r="AJ33" s="248"/>
      <c r="AK33" s="248"/>
      <c r="AL33" s="437"/>
    </row>
    <row r="34" spans="1:44" s="1950" customFormat="1" ht="18.75" hidden="1" customHeight="1">
      <c r="A34" s="1249"/>
      <c r="B34" s="1249"/>
      <c r="C34" s="1249"/>
      <c r="D34" s="1249"/>
      <c r="E34" s="1249"/>
      <c r="F34" s="1249"/>
      <c r="G34" s="1249"/>
      <c r="H34" s="1249"/>
      <c r="I34" s="1249"/>
      <c r="J34" s="1249"/>
      <c r="K34" s="1249"/>
      <c r="L34" s="1250"/>
      <c r="M34" s="1249"/>
      <c r="N34" s="1249"/>
      <c r="O34" s="1249"/>
      <c r="S34" s="2227" t="s">
        <v>1486</v>
      </c>
      <c r="T34" s="2227"/>
      <c r="U34" s="1253"/>
      <c r="V34" s="2228" t="str">
        <f>IF(TITLE_DATE_CHANGE_PERIOD="",IF(TITLE_DATE_PR="","",TITLE_DATE_PR),TITLE_DATE_CHANGE_PERIOD)</f>
        <v/>
      </c>
      <c r="W34" s="2228"/>
      <c r="X34" s="2228"/>
      <c r="Y34" s="2228"/>
      <c r="Z34" s="2228"/>
      <c r="AA34" s="2228"/>
      <c r="AB34" s="2228"/>
      <c r="AC34" s="253"/>
      <c r="AD34" s="2228" t="str">
        <f>IF(TITLE_DATE_CHANGE_PERIOD="",IF(TITLE_DATE_PR="","",TITLE_DATE_PR),TITLE_DATE_CHANGE_PERIOD)</f>
        <v/>
      </c>
      <c r="AE34" s="2228"/>
      <c r="AF34" s="2228"/>
      <c r="AG34" s="2228"/>
      <c r="AH34" s="2228"/>
      <c r="AI34" s="2228"/>
      <c r="AJ34" s="2228"/>
      <c r="AK34" s="253"/>
      <c r="AL34" s="253"/>
      <c r="AM34" s="199"/>
      <c r="AN34" s="295"/>
      <c r="AO34" s="295"/>
      <c r="AP34" s="295"/>
      <c r="AQ34" s="295"/>
      <c r="AR34" s="295"/>
    </row>
    <row r="35" spans="1:44" s="1950" customFormat="1" ht="18.75" hidden="1" customHeight="1">
      <c r="A35" s="1249"/>
      <c r="B35" s="1249"/>
      <c r="C35" s="1249"/>
      <c r="D35" s="1249"/>
      <c r="E35" s="1249"/>
      <c r="F35" s="1249"/>
      <c r="G35" s="1249"/>
      <c r="H35" s="1249"/>
      <c r="I35" s="1249"/>
      <c r="J35" s="1249"/>
      <c r="K35" s="1249"/>
      <c r="L35" s="1250"/>
      <c r="M35" s="1249"/>
      <c r="N35" s="1249"/>
      <c r="O35" s="1249"/>
      <c r="S35" s="2227" t="s">
        <v>1487</v>
      </c>
      <c r="T35" s="2227"/>
      <c r="U35" s="1253"/>
      <c r="V35" s="2228" t="str">
        <f>IF(TITLE_NUMBER_PR_CHANGE="",IF(TITLE_NUMBER_PR="","",TITLE_NUMBER_PR),TITLE_NUMBER_PR_CHANGE)</f>
        <v/>
      </c>
      <c r="W35" s="2228"/>
      <c r="X35" s="2228"/>
      <c r="Y35" s="2228"/>
      <c r="Z35" s="2228"/>
      <c r="AA35" s="2228"/>
      <c r="AB35" s="2228"/>
      <c r="AC35" s="253"/>
      <c r="AD35" s="2228" t="str">
        <f>IF(TITLE_NUMBER_PR_CHANGE="",IF(TITLE_NUMBER_PR="","",TITLE_NUMBER_PR),TITLE_NUMBER_PR_CHANGE)</f>
        <v/>
      </c>
      <c r="AE35" s="2228"/>
      <c r="AF35" s="2228"/>
      <c r="AG35" s="2228"/>
      <c r="AH35" s="2228"/>
      <c r="AI35" s="2228"/>
      <c r="AJ35" s="2228"/>
      <c r="AK35" s="253"/>
      <c r="AL35" s="253"/>
      <c r="AM35" s="199"/>
      <c r="AN35" s="295"/>
      <c r="AO35" s="295"/>
      <c r="AP35" s="295"/>
      <c r="AQ35" s="295"/>
      <c r="AR35" s="295"/>
    </row>
    <row r="36" spans="1:44" s="1950" customFormat="1" ht="0" hidden="1" customHeight="1">
      <c r="A36" s="1249"/>
      <c r="B36" s="1249"/>
      <c r="C36" s="1249"/>
      <c r="D36" s="1249"/>
      <c r="E36" s="1249"/>
      <c r="F36" s="1249"/>
      <c r="G36" s="1249"/>
      <c r="H36" s="1249"/>
      <c r="I36" s="1249"/>
      <c r="J36" s="1249"/>
      <c r="K36" s="1249"/>
      <c r="L36" s="1250"/>
      <c r="M36" s="1249"/>
      <c r="N36" s="1249"/>
      <c r="O36" s="1249"/>
      <c r="S36" s="250"/>
      <c r="T36" s="250"/>
      <c r="U36" s="1225"/>
      <c r="V36" s="253"/>
      <c r="W36" s="253"/>
      <c r="X36" s="253"/>
      <c r="Y36" s="253"/>
      <c r="Z36" s="253"/>
      <c r="AA36" s="253"/>
      <c r="AB36" s="253"/>
      <c r="AC36" s="197" t="s">
        <v>1488</v>
      </c>
      <c r="AD36" s="253"/>
      <c r="AE36" s="253"/>
      <c r="AF36" s="253"/>
      <c r="AG36" s="253"/>
      <c r="AH36" s="253"/>
      <c r="AI36" s="253"/>
      <c r="AJ36" s="253"/>
      <c r="AK36" s="197" t="s">
        <v>1488</v>
      </c>
      <c r="AN36" s="295"/>
      <c r="AO36" s="295"/>
      <c r="AP36" s="295"/>
      <c r="AQ36" s="295"/>
      <c r="AR36" s="295"/>
    </row>
    <row r="37" spans="1:44" ht="14.25" customHeight="1">
      <c r="Q37" s="304"/>
      <c r="R37" s="304"/>
      <c r="S37" s="1158"/>
      <c r="T37" s="289"/>
      <c r="U37" s="1117"/>
      <c r="V37" s="2246"/>
      <c r="W37" s="2246"/>
      <c r="X37" s="2246"/>
      <c r="Y37" s="2246"/>
      <c r="Z37" s="2246"/>
      <c r="AA37" s="2246"/>
      <c r="AB37" s="2246"/>
      <c r="AC37" s="2246"/>
      <c r="AD37" s="2246"/>
      <c r="AE37" s="2246"/>
      <c r="AF37" s="2246"/>
      <c r="AG37" s="2246"/>
      <c r="AH37" s="2246"/>
      <c r="AI37" s="2246"/>
      <c r="AJ37" s="2246"/>
      <c r="AK37" s="2246"/>
    </row>
    <row r="38" spans="1:44" ht="14.25" customHeight="1">
      <c r="Q38" s="304"/>
      <c r="R38" s="304"/>
      <c r="S38" s="2021" t="s">
        <v>292</v>
      </c>
      <c r="T38" s="2021"/>
      <c r="U38" s="2021"/>
      <c r="V38" s="2021"/>
      <c r="W38" s="2021"/>
      <c r="X38" s="2021"/>
      <c r="Y38" s="2021"/>
      <c r="Z38" s="2021"/>
      <c r="AA38" s="2021"/>
      <c r="AB38" s="2021"/>
      <c r="AC38" s="2021"/>
      <c r="AD38" s="2021"/>
      <c r="AE38" s="2021"/>
      <c r="AF38" s="2021"/>
      <c r="AG38" s="2021"/>
      <c r="AH38" s="2021"/>
      <c r="AI38" s="2021"/>
      <c r="AJ38" s="2021"/>
      <c r="AK38" s="2021"/>
      <c r="AL38" s="2021"/>
      <c r="AM38" s="2021" t="s">
        <v>293</v>
      </c>
    </row>
    <row r="39" spans="1:44" ht="14.25" customHeight="1">
      <c r="Q39" s="304"/>
      <c r="R39" s="304"/>
      <c r="S39" s="2247" t="s">
        <v>88</v>
      </c>
      <c r="T39" s="2111" t="s">
        <v>1489</v>
      </c>
      <c r="U39" s="219"/>
      <c r="V39" s="2248" t="s">
        <v>1490</v>
      </c>
      <c r="W39" s="2249"/>
      <c r="X39" s="2249"/>
      <c r="Y39" s="2249"/>
      <c r="Z39" s="2249"/>
      <c r="AA39" s="2249"/>
      <c r="AB39" s="2250"/>
      <c r="AC39" s="2251" t="s">
        <v>1491</v>
      </c>
      <c r="AD39" s="2248" t="s">
        <v>1490</v>
      </c>
      <c r="AE39" s="2249"/>
      <c r="AF39" s="2249"/>
      <c r="AG39" s="2249"/>
      <c r="AH39" s="2249"/>
      <c r="AI39" s="2249"/>
      <c r="AJ39" s="2250"/>
      <c r="AK39" s="2251" t="s">
        <v>1492</v>
      </c>
      <c r="AL39" s="2254" t="s">
        <v>1493</v>
      </c>
      <c r="AM39" s="2021"/>
    </row>
    <row r="40" spans="1:44" ht="33.75" customHeight="1">
      <c r="Q40" s="304"/>
      <c r="R40" s="304"/>
      <c r="S40" s="2247"/>
      <c r="T40" s="2111"/>
      <c r="U40" s="924"/>
      <c r="V40" s="2080" t="s">
        <v>1494</v>
      </c>
      <c r="W40" s="2243"/>
      <c r="X40" s="2003" t="s">
        <v>1496</v>
      </c>
      <c r="Y40" s="2002"/>
      <c r="Z40" s="2003" t="s">
        <v>1497</v>
      </c>
      <c r="AA40" s="2008"/>
      <c r="AB40" s="2002"/>
      <c r="AC40" s="2252"/>
      <c r="AD40" s="2080" t="s">
        <v>1494</v>
      </c>
      <c r="AE40" s="2243"/>
      <c r="AF40" s="2003" t="s">
        <v>1496</v>
      </c>
      <c r="AG40" s="2002"/>
      <c r="AH40" s="2003" t="s">
        <v>1497</v>
      </c>
      <c r="AI40" s="2008"/>
      <c r="AJ40" s="2002"/>
      <c r="AK40" s="2252"/>
      <c r="AL40" s="2255"/>
      <c r="AM40" s="2021"/>
    </row>
    <row r="41" spans="1:44" ht="33.75" customHeight="1">
      <c r="A41" s="1251"/>
      <c r="B41" s="1251" t="s">
        <v>136</v>
      </c>
      <c r="C41" s="1251" t="s">
        <v>137</v>
      </c>
      <c r="D41" s="1251" t="s">
        <v>138</v>
      </c>
      <c r="E41" s="1245" t="s">
        <v>1498</v>
      </c>
      <c r="F41" s="1245" t="s">
        <v>1499</v>
      </c>
      <c r="G41" s="1245" t="s">
        <v>1500</v>
      </c>
      <c r="H41" s="1245" t="s">
        <v>1501</v>
      </c>
      <c r="I41" s="1245" t="s">
        <v>1502</v>
      </c>
      <c r="J41" s="1245" t="s">
        <v>1503</v>
      </c>
      <c r="K41" s="1245" t="s">
        <v>1504</v>
      </c>
      <c r="L41" s="1245" t="s">
        <v>1479</v>
      </c>
      <c r="Q41" s="304"/>
      <c r="R41" s="304"/>
      <c r="S41" s="2247"/>
      <c r="T41" s="2111"/>
      <c r="U41" s="220"/>
      <c r="V41" s="2136"/>
      <c r="W41" s="2244"/>
      <c r="X41" s="1092" t="s">
        <v>1505</v>
      </c>
      <c r="Y41" s="1092" t="s">
        <v>1506</v>
      </c>
      <c r="Z41" s="1223" t="s">
        <v>1507</v>
      </c>
      <c r="AA41" s="2117" t="s">
        <v>1508</v>
      </c>
      <c r="AB41" s="2131"/>
      <c r="AC41" s="2253"/>
      <c r="AD41" s="2136"/>
      <c r="AE41" s="2244"/>
      <c r="AF41" s="1092" t="s">
        <v>1505</v>
      </c>
      <c r="AG41" s="1092" t="s">
        <v>1506</v>
      </c>
      <c r="AH41" s="1223" t="s">
        <v>1507</v>
      </c>
      <c r="AI41" s="2117" t="s">
        <v>1508</v>
      </c>
      <c r="AJ41" s="2131"/>
      <c r="AK41" s="2253"/>
      <c r="AL41" s="2256"/>
      <c r="AM41" s="2021"/>
    </row>
    <row r="42" spans="1:44" s="1720" customFormat="1" ht="11.25" hidden="1" customHeight="1">
      <c r="A42" s="1251"/>
      <c r="B42" s="1251"/>
      <c r="C42" s="1251"/>
      <c r="D42" s="1251"/>
      <c r="E42" s="1251"/>
      <c r="F42" s="1251"/>
      <c r="G42" s="1251"/>
      <c r="H42" s="1251"/>
      <c r="I42" s="1251"/>
      <c r="J42" s="1251"/>
      <c r="K42" s="1251"/>
      <c r="L42" s="1245"/>
      <c r="M42" s="1243"/>
      <c r="N42" s="1243"/>
      <c r="O42" s="1243"/>
      <c r="P42" s="1119"/>
      <c r="Q42" s="1120"/>
      <c r="R42" s="1135">
        <v>1</v>
      </c>
      <c r="S42" s="1160" t="s">
        <v>109</v>
      </c>
      <c r="T42" s="1136" t="s">
        <v>110</v>
      </c>
      <c r="U42" s="1118" t="str">
        <f ca="1">OFFSET(U42,0,-1)</f>
        <v>2</v>
      </c>
      <c r="V42" s="1220">
        <f ca="1">OFFSET(V42,0,-1)+1</f>
        <v>3</v>
      </c>
      <c r="W42" s="1220"/>
      <c r="X42" s="1220">
        <f ca="1">OFFSET(X42,0,-1)+1</f>
        <v>1</v>
      </c>
      <c r="Y42" s="1220">
        <f ca="1">OFFSET(Y42,0,-1)+1</f>
        <v>2</v>
      </c>
      <c r="Z42" s="1220">
        <f ca="1">OFFSET(Z42,0,-1)+1</f>
        <v>3</v>
      </c>
      <c r="AA42" s="2245">
        <f ca="1">OFFSET(AA42,0,-1)+1</f>
        <v>4</v>
      </c>
      <c r="AB42" s="2245"/>
      <c r="AC42" s="1220">
        <f ca="1">OFFSET(AC42,0,-2)+1</f>
        <v>5</v>
      </c>
      <c r="AD42" s="1220">
        <f ca="1">OFFSET(AD42,0,-1)+1</f>
        <v>6</v>
      </c>
      <c r="AE42" s="1220"/>
      <c r="AF42" s="1220">
        <f ca="1">OFFSET(AF42,0,-1)+1</f>
        <v>1</v>
      </c>
      <c r="AG42" s="1220">
        <f ca="1">OFFSET(AG42,0,-1)+1</f>
        <v>2</v>
      </c>
      <c r="AH42" s="1220">
        <f ca="1">OFFSET(AH42,0,-1)+1</f>
        <v>3</v>
      </c>
      <c r="AI42" s="2245">
        <f ca="1">OFFSET(AI42,0,-1)+1</f>
        <v>4</v>
      </c>
      <c r="AJ42" s="2245"/>
      <c r="AK42" s="1220">
        <f ca="1">OFFSET(AK42,0,-2)+1</f>
        <v>5</v>
      </c>
      <c r="AL42" s="1118">
        <f ca="1">OFFSET(AL42,0,-1)</f>
        <v>5</v>
      </c>
      <c r="AM42" s="1220">
        <f ca="1">OFFSET(AM42,0,-1)+1</f>
        <v>6</v>
      </c>
      <c r="AN42" s="439"/>
      <c r="AO42" s="439"/>
      <c r="AP42" s="439"/>
      <c r="AQ42" s="439"/>
      <c r="AR42" s="439"/>
    </row>
    <row r="43" spans="1:44" ht="21" customHeight="1">
      <c r="A43" s="1244" t="s">
        <v>171</v>
      </c>
      <c r="B43" s="1244"/>
      <c r="C43" s="1244"/>
      <c r="D43" s="1244"/>
      <c r="E43" s="2235">
        <v>1</v>
      </c>
      <c r="F43" s="1244"/>
      <c r="G43" s="1244"/>
      <c r="H43" s="1244"/>
      <c r="I43" s="1244"/>
      <c r="J43" s="1244"/>
      <c r="K43" s="1244"/>
      <c r="L43" s="1245"/>
      <c r="M43" s="1246"/>
      <c r="N43" s="1246"/>
      <c r="O43" s="1246"/>
      <c r="P43" s="285"/>
      <c r="Q43" s="284"/>
      <c r="R43" s="279"/>
      <c r="S43" s="1221">
        <f>INDEX(PT_DIFFERENTIATION_NUM_NTAR,MATCH(A43,PT_DIFFERENTIATION_NTAR_ID,0))</f>
        <v>0</v>
      </c>
      <c r="T43" s="216" t="s">
        <v>124</v>
      </c>
      <c r="U43" s="218"/>
      <c r="V43" s="2229"/>
      <c r="W43" s="2230"/>
      <c r="X43" s="2230"/>
      <c r="Y43" s="2230"/>
      <c r="Z43" s="2230"/>
      <c r="AA43" s="2230"/>
      <c r="AB43" s="2230"/>
      <c r="AC43" s="2231"/>
      <c r="AD43" s="2229" t="str">
        <f>INDEX(PT_DIFFERENTIATION_NTAR,MATCH(A43,PT_DIFFERENTIATION_NTAR_ID,0))</f>
        <v/>
      </c>
      <c r="AE43" s="2230"/>
      <c r="AF43" s="2230"/>
      <c r="AG43" s="2230"/>
      <c r="AH43" s="2230"/>
      <c r="AI43" s="2230"/>
      <c r="AJ43" s="2230"/>
      <c r="AK43" s="2230"/>
      <c r="AL43" s="2231"/>
      <c r="AM43" s="1140" t="s">
        <v>1460</v>
      </c>
      <c r="AO43" s="428"/>
      <c r="AP43" s="428" t="str">
        <f t="shared" ref="AP43:AP57" si="1">IF(T43="","",T43)</f>
        <v>Наименование тарифа</v>
      </c>
      <c r="AQ43" s="428"/>
      <c r="AR43" s="428"/>
    </row>
    <row r="44" spans="1:44" ht="21" customHeight="1">
      <c r="A44" s="1244" t="s">
        <v>171</v>
      </c>
      <c r="B44" s="1244" t="s">
        <v>172</v>
      </c>
      <c r="C44" s="1244"/>
      <c r="D44" s="1244"/>
      <c r="E44" s="2236"/>
      <c r="F44" s="2235">
        <v>1</v>
      </c>
      <c r="G44" s="1244"/>
      <c r="H44" s="1244"/>
      <c r="I44" s="1244"/>
      <c r="J44" s="1244"/>
      <c r="K44" s="1244"/>
      <c r="L44" s="1245"/>
      <c r="M44" s="1246"/>
      <c r="N44" s="1246"/>
      <c r="O44" s="1246"/>
      <c r="P44" s="1217"/>
      <c r="Q44" s="276"/>
      <c r="R44" s="277"/>
      <c r="S44" s="1221" t="str">
        <f>INDEX(PT_DIFFERENTIATION_NUM_TER,MATCH(B44,PT_DIFFERENTIATION_TER_ID,0))</f>
        <v>.</v>
      </c>
      <c r="T44" s="228" t="s">
        <v>1461</v>
      </c>
      <c r="U44" s="218"/>
      <c r="V44" s="2229"/>
      <c r="W44" s="2230"/>
      <c r="X44" s="2230"/>
      <c r="Y44" s="2230"/>
      <c r="Z44" s="2230"/>
      <c r="AA44" s="2230"/>
      <c r="AB44" s="2230"/>
      <c r="AC44" s="2231"/>
      <c r="AD44" s="2229" t="str">
        <f>INDEX(PT_DIFFERENTIATION_TER,MATCH(B44,PT_DIFFERENTIATION_TER_ID,0))</f>
        <v/>
      </c>
      <c r="AE44" s="2230"/>
      <c r="AF44" s="2230"/>
      <c r="AG44" s="2230"/>
      <c r="AH44" s="2230"/>
      <c r="AI44" s="2230"/>
      <c r="AJ44" s="2230"/>
      <c r="AK44" s="2230"/>
      <c r="AL44" s="2231"/>
      <c r="AM44" s="1140" t="s">
        <v>1462</v>
      </c>
      <c r="AO44" s="428"/>
      <c r="AP44" s="428" t="str">
        <f t="shared" si="1"/>
        <v>Территория действия тарифа</v>
      </c>
      <c r="AQ44" s="428"/>
      <c r="AR44" s="428"/>
    </row>
    <row r="45" spans="1:44" ht="23.25" customHeight="1">
      <c r="A45" s="1244" t="s">
        <v>171</v>
      </c>
      <c r="B45" s="1244" t="s">
        <v>172</v>
      </c>
      <c r="C45" s="1244" t="s">
        <v>173</v>
      </c>
      <c r="D45" s="1244"/>
      <c r="E45" s="2236"/>
      <c r="F45" s="2236"/>
      <c r="G45" s="2235">
        <v>1</v>
      </c>
      <c r="H45" s="1244"/>
      <c r="I45" s="1244"/>
      <c r="J45" s="1244"/>
      <c r="K45" s="1244"/>
      <c r="L45" s="1245"/>
      <c r="M45" s="1246"/>
      <c r="N45" s="1246"/>
      <c r="O45" s="1246"/>
      <c r="P45" s="278"/>
      <c r="Q45" s="276"/>
      <c r="R45" s="277"/>
      <c r="S45" s="1221" t="str">
        <f>INDEX(PT_DIFFERENTIATION_NUM_CS,MATCH(C45,PT_DIFFERENTIATION_CS_ID,0))</f>
        <v>..</v>
      </c>
      <c r="T45" s="229" t="s">
        <v>1463</v>
      </c>
      <c r="U45" s="218"/>
      <c r="V45" s="2229"/>
      <c r="W45" s="2230"/>
      <c r="X45" s="2230"/>
      <c r="Y45" s="2230"/>
      <c r="Z45" s="2230"/>
      <c r="AA45" s="2230"/>
      <c r="AB45" s="2230"/>
      <c r="AC45" s="2231"/>
      <c r="AD45" s="2229" t="str">
        <f>INDEX(PT_DIFFERENTIATION_CS,MATCH(C45,PT_DIFFERENTIATION_CS_ID,0))</f>
        <v/>
      </c>
      <c r="AE45" s="2230"/>
      <c r="AF45" s="2230"/>
      <c r="AG45" s="2230"/>
      <c r="AH45" s="2230"/>
      <c r="AI45" s="2230"/>
      <c r="AJ45" s="2230"/>
      <c r="AK45" s="2230"/>
      <c r="AL45" s="2231"/>
      <c r="AM45" s="1140" t="s">
        <v>1464</v>
      </c>
      <c r="AO45" s="428"/>
      <c r="AP45" s="428" t="str">
        <f t="shared" si="1"/>
        <v xml:space="preserve">Наименование системы теплоснабжения </v>
      </c>
      <c r="AQ45" s="428"/>
      <c r="AR45" s="428"/>
    </row>
    <row r="46" spans="1:44" ht="21" customHeight="1">
      <c r="A46" s="1244" t="s">
        <v>171</v>
      </c>
      <c r="B46" s="1244" t="s">
        <v>172</v>
      </c>
      <c r="C46" s="1244" t="s">
        <v>173</v>
      </c>
      <c r="D46" s="1244" t="s">
        <v>174</v>
      </c>
      <c r="E46" s="2236"/>
      <c r="F46" s="2236"/>
      <c r="G46" s="2236"/>
      <c r="H46" s="2235">
        <v>1</v>
      </c>
      <c r="I46" s="1244"/>
      <c r="J46" s="1244"/>
      <c r="K46" s="1244"/>
      <c r="L46" s="1245"/>
      <c r="M46" s="1246"/>
      <c r="N46" s="1246"/>
      <c r="O46" s="1246"/>
      <c r="P46" s="278"/>
      <c r="Q46" s="276"/>
      <c r="R46" s="277"/>
      <c r="S46" s="1221" t="str">
        <f>INDEX(PT_DIFFERENTIATION_NUM_IST_TE,MATCH(D46,PT_DIFFERENTIATION_IST_TE_ID,0))</f>
        <v>...</v>
      </c>
      <c r="T46" s="230" t="s">
        <v>1465</v>
      </c>
      <c r="U46" s="218"/>
      <c r="V46" s="2229"/>
      <c r="W46" s="2230"/>
      <c r="X46" s="2230"/>
      <c r="Y46" s="2230"/>
      <c r="Z46" s="2230"/>
      <c r="AA46" s="2230"/>
      <c r="AB46" s="2230"/>
      <c r="AC46" s="2231"/>
      <c r="AD46" s="2229" t="str">
        <f>INDEX(PT_DIFFERENTIATION_IST_TE,MATCH(D46,PT_DIFFERENTIATION_IST_TE_ID,0))</f>
        <v/>
      </c>
      <c r="AE46" s="2230"/>
      <c r="AF46" s="2230"/>
      <c r="AG46" s="2230"/>
      <c r="AH46" s="2230"/>
      <c r="AI46" s="2230"/>
      <c r="AJ46" s="2230"/>
      <c r="AK46" s="2230"/>
      <c r="AL46" s="2231"/>
      <c r="AM46" s="1140" t="s">
        <v>1466</v>
      </c>
      <c r="AO46" s="428"/>
      <c r="AP46" s="428" t="str">
        <f t="shared" si="1"/>
        <v xml:space="preserve">Источник тепловой энергии  </v>
      </c>
      <c r="AQ46" s="428"/>
      <c r="AR46" s="428"/>
    </row>
    <row r="47" spans="1:44" s="1772" customFormat="1" ht="0" hidden="1" customHeight="1">
      <c r="A47" s="1228" t="s">
        <v>171</v>
      </c>
      <c r="B47" s="1228" t="s">
        <v>172</v>
      </c>
      <c r="C47" s="1228" t="s">
        <v>173</v>
      </c>
      <c r="D47" s="1228" t="s">
        <v>174</v>
      </c>
      <c r="E47" s="2236"/>
      <c r="F47" s="2236"/>
      <c r="G47" s="2236"/>
      <c r="H47" s="2236"/>
      <c r="I47" s="2237" t="str">
        <f>S46&amp;".1"</f>
        <v>....1</v>
      </c>
      <c r="J47" s="1228"/>
      <c r="K47" s="1228"/>
      <c r="L47" s="1231" t="s">
        <v>1467</v>
      </c>
      <c r="M47" s="438"/>
      <c r="N47" s="438"/>
      <c r="O47" s="438"/>
      <c r="P47" s="2157">
        <v>1</v>
      </c>
      <c r="Q47" s="1216"/>
      <c r="R47" s="280"/>
      <c r="S47" s="932"/>
      <c r="T47" s="1263"/>
      <c r="U47" s="1264"/>
      <c r="V47" s="2263"/>
      <c r="W47" s="2264"/>
      <c r="X47" s="2264"/>
      <c r="Y47" s="2264"/>
      <c r="Z47" s="2264"/>
      <c r="AA47" s="2264"/>
      <c r="AB47" s="2264"/>
      <c r="AC47" s="2265"/>
      <c r="AD47" s="2263"/>
      <c r="AE47" s="2264"/>
      <c r="AF47" s="2264"/>
      <c r="AG47" s="2264"/>
      <c r="AH47" s="2264"/>
      <c r="AI47" s="2264"/>
      <c r="AJ47" s="2264"/>
      <c r="AK47" s="2264"/>
      <c r="AL47" s="2265"/>
      <c r="AM47" s="1265"/>
      <c r="AO47" s="428"/>
      <c r="AP47" s="428" t="str">
        <f t="shared" si="1"/>
        <v/>
      </c>
      <c r="AQ47" s="428"/>
      <c r="AR47" s="428"/>
    </row>
    <row r="48" spans="1:44" ht="21" customHeight="1">
      <c r="A48" s="1244" t="s">
        <v>171</v>
      </c>
      <c r="B48" s="1244" t="s">
        <v>172</v>
      </c>
      <c r="C48" s="1244" t="s">
        <v>173</v>
      </c>
      <c r="D48" s="1244" t="s">
        <v>174</v>
      </c>
      <c r="E48" s="2236"/>
      <c r="F48" s="2236"/>
      <c r="G48" s="2236"/>
      <c r="H48" s="2236"/>
      <c r="I48" s="2238"/>
      <c r="J48" s="2237" t="str">
        <f>S46&amp;".1"</f>
        <v>....1</v>
      </c>
      <c r="K48" s="1244"/>
      <c r="L48" s="1245" t="s">
        <v>1470</v>
      </c>
      <c r="P48" s="2157"/>
      <c r="Q48" s="2157">
        <v>1</v>
      </c>
      <c r="R48" s="281"/>
      <c r="S48" s="1221" t="str">
        <f>$J48</f>
        <v>....1</v>
      </c>
      <c r="T48" s="204" t="s">
        <v>1471</v>
      </c>
      <c r="U48" s="218"/>
      <c r="V48" s="2224"/>
      <c r="W48" s="2225"/>
      <c r="X48" s="2225"/>
      <c r="Y48" s="2225"/>
      <c r="Z48" s="2225"/>
      <c r="AA48" s="2225"/>
      <c r="AB48" s="2225"/>
      <c r="AC48" s="2226"/>
      <c r="AD48" s="2224"/>
      <c r="AE48" s="2225"/>
      <c r="AF48" s="2225"/>
      <c r="AG48" s="2225"/>
      <c r="AH48" s="2225"/>
      <c r="AI48" s="2225"/>
      <c r="AJ48" s="2225"/>
      <c r="AK48" s="2225"/>
      <c r="AL48" s="2226"/>
      <c r="AM48" s="1140" t="s">
        <v>1472</v>
      </c>
      <c r="AO48" s="428"/>
      <c r="AP48" s="428" t="str">
        <f t="shared" si="1"/>
        <v>Группа потребителей</v>
      </c>
      <c r="AQ48" s="428"/>
      <c r="AR48" s="428"/>
    </row>
    <row r="49" spans="1:44" ht="21" customHeight="1">
      <c r="A49" s="1244" t="s">
        <v>171</v>
      </c>
      <c r="B49" s="1244" t="s">
        <v>172</v>
      </c>
      <c r="C49" s="1244" t="s">
        <v>173</v>
      </c>
      <c r="D49" s="1244" t="s">
        <v>174</v>
      </c>
      <c r="E49" s="2236"/>
      <c r="F49" s="2236"/>
      <c r="G49" s="2236"/>
      <c r="H49" s="2236"/>
      <c r="I49" s="2238"/>
      <c r="J49" s="2238"/>
      <c r="K49" s="2237" t="str">
        <f>J48&amp;".1"</f>
        <v>....1.1</v>
      </c>
      <c r="L49" s="1245" t="s">
        <v>1473</v>
      </c>
      <c r="P49" s="2157"/>
      <c r="Q49" s="2157"/>
      <c r="R49" s="281">
        <v>1</v>
      </c>
      <c r="S49" s="1221" t="str">
        <f>$K49</f>
        <v>....1.1</v>
      </c>
      <c r="T49" s="1232"/>
      <c r="U49" s="218"/>
      <c r="V49" s="1667"/>
      <c r="W49" s="1668"/>
      <c r="X49" s="1667"/>
      <c r="Y49" s="1669"/>
      <c r="Z49" s="2239"/>
      <c r="AA49" s="2031" t="s">
        <v>66</v>
      </c>
      <c r="AB49" s="2239"/>
      <c r="AC49" s="2031" t="s">
        <v>66</v>
      </c>
      <c r="AD49" s="1667"/>
      <c r="AE49" s="1668"/>
      <c r="AF49" s="1667"/>
      <c r="AG49" s="1669"/>
      <c r="AH49" s="2239"/>
      <c r="AI49" s="2031" t="s">
        <v>66</v>
      </c>
      <c r="AJ49" s="2241"/>
      <c r="AK49" s="2031" t="s">
        <v>66</v>
      </c>
      <c r="AL49" s="1675"/>
      <c r="AM49" s="2257" t="s">
        <v>1517</v>
      </c>
      <c r="AN49" s="439" t="e">
        <f ca="1">STRCHECKDATE(V50:AL50)</f>
        <v>#NAME?</v>
      </c>
      <c r="AO49" s="428"/>
      <c r="AP49" s="428" t="str">
        <f t="shared" si="1"/>
        <v/>
      </c>
      <c r="AQ49" s="428"/>
      <c r="AR49" s="428"/>
    </row>
    <row r="50" spans="1:44" ht="0.75" customHeight="1">
      <c r="A50" s="1244" t="s">
        <v>171</v>
      </c>
      <c r="B50" s="1244" t="s">
        <v>172</v>
      </c>
      <c r="C50" s="1244" t="s">
        <v>173</v>
      </c>
      <c r="D50" s="1244" t="s">
        <v>174</v>
      </c>
      <c r="E50" s="2236"/>
      <c r="F50" s="2236"/>
      <c r="G50" s="2236"/>
      <c r="H50" s="2236"/>
      <c r="I50" s="2238"/>
      <c r="J50" s="2238"/>
      <c r="K50" s="2237"/>
      <c r="L50" s="1245"/>
      <c r="P50" s="2157"/>
      <c r="Q50" s="2157"/>
      <c r="R50" s="281"/>
      <c r="S50" s="1227"/>
      <c r="T50" s="218"/>
      <c r="U50" s="218"/>
      <c r="V50" s="1668"/>
      <c r="W50" s="1668"/>
      <c r="X50" s="1668"/>
      <c r="Y50" s="1670" t="str">
        <f>Z49&amp;"-"&amp;AB49</f>
        <v>-</v>
      </c>
      <c r="Z50" s="2240"/>
      <c r="AA50" s="2031"/>
      <c r="AB50" s="2240"/>
      <c r="AC50" s="2031"/>
      <c r="AD50" s="1668"/>
      <c r="AE50" s="1668"/>
      <c r="AF50" s="1668"/>
      <c r="AG50" s="1670" t="str">
        <f>AH49&amp;"-"&amp;AJ49</f>
        <v>-</v>
      </c>
      <c r="AH50" s="2240"/>
      <c r="AI50" s="2031"/>
      <c r="AJ50" s="2242"/>
      <c r="AK50" s="2031"/>
      <c r="AL50" s="1676"/>
      <c r="AM50" s="2258"/>
      <c r="AO50" s="428"/>
      <c r="AP50" s="428" t="str">
        <f t="shared" si="1"/>
        <v/>
      </c>
      <c r="AQ50" s="428"/>
      <c r="AR50" s="428"/>
    </row>
    <row r="51" spans="1:44" ht="11.25" customHeight="1">
      <c r="A51" s="1244" t="s">
        <v>171</v>
      </c>
      <c r="B51" s="1244" t="s">
        <v>172</v>
      </c>
      <c r="C51" s="1244" t="s">
        <v>173</v>
      </c>
      <c r="D51" s="1244" t="s">
        <v>174</v>
      </c>
      <c r="E51" s="2236"/>
      <c r="F51" s="2236"/>
      <c r="G51" s="2236"/>
      <c r="H51" s="2236"/>
      <c r="I51" s="2238"/>
      <c r="J51" s="2237"/>
      <c r="K51" s="1244"/>
      <c r="L51" s="1245"/>
      <c r="P51" s="2157"/>
      <c r="Q51" s="2157"/>
      <c r="R51" s="280"/>
      <c r="S51" s="1161"/>
      <c r="T51" s="205" t="s">
        <v>1475</v>
      </c>
      <c r="U51" s="294"/>
      <c r="V51" s="294"/>
      <c r="W51" s="294"/>
      <c r="X51" s="294"/>
      <c r="Y51" s="294"/>
      <c r="Z51" s="294"/>
      <c r="AA51" s="294"/>
      <c r="AB51" s="294"/>
      <c r="AC51" s="294"/>
      <c r="AD51" s="294"/>
      <c r="AE51" s="294"/>
      <c r="AF51" s="294"/>
      <c r="AG51" s="294"/>
      <c r="AH51" s="294"/>
      <c r="AI51" s="294"/>
      <c r="AJ51" s="294"/>
      <c r="AK51" s="294"/>
      <c r="AL51" s="251"/>
      <c r="AM51" s="2259"/>
      <c r="AO51" s="428"/>
      <c r="AP51" s="428" t="str">
        <f t="shared" si="1"/>
        <v>Добавить вид теплоносителя (параметры теплоносителя)</v>
      </c>
      <c r="AQ51" s="428"/>
      <c r="AR51" s="428"/>
    </row>
    <row r="52" spans="1:44" ht="11.25" customHeight="1">
      <c r="A52" s="1244" t="s">
        <v>171</v>
      </c>
      <c r="B52" s="1244" t="s">
        <v>172</v>
      </c>
      <c r="C52" s="1244" t="s">
        <v>173</v>
      </c>
      <c r="D52" s="1244" t="s">
        <v>174</v>
      </c>
      <c r="E52" s="2236"/>
      <c r="F52" s="2236"/>
      <c r="G52" s="2236"/>
      <c r="H52" s="2236"/>
      <c r="I52" s="2237"/>
      <c r="J52" s="1244"/>
      <c r="K52" s="1244"/>
      <c r="L52" s="1245"/>
      <c r="P52" s="2157"/>
      <c r="Q52" s="1216"/>
      <c r="R52" s="280"/>
      <c r="S52" s="1161"/>
      <c r="T52" s="291" t="s">
        <v>1476</v>
      </c>
      <c r="U52" s="294"/>
      <c r="V52" s="294"/>
      <c r="W52" s="294"/>
      <c r="X52" s="294"/>
      <c r="Y52" s="294"/>
      <c r="Z52" s="294"/>
      <c r="AA52" s="294"/>
      <c r="AB52" s="294"/>
      <c r="AC52" s="293"/>
      <c r="AD52" s="294"/>
      <c r="AE52" s="294"/>
      <c r="AF52" s="294"/>
      <c r="AG52" s="294"/>
      <c r="AH52" s="294"/>
      <c r="AI52" s="294"/>
      <c r="AJ52" s="294"/>
      <c r="AK52" s="293"/>
      <c r="AL52" s="294"/>
      <c r="AM52" s="221"/>
      <c r="AO52" s="428"/>
      <c r="AP52" s="428" t="str">
        <f t="shared" si="1"/>
        <v>Добавить группу потребителей</v>
      </c>
      <c r="AQ52" s="428"/>
      <c r="AR52" s="428"/>
    </row>
    <row r="53" spans="1:44" ht="0" hidden="1" customHeight="1">
      <c r="A53" s="1244" t="s">
        <v>171</v>
      </c>
      <c r="B53" s="1244" t="s">
        <v>172</v>
      </c>
      <c r="C53" s="1244" t="s">
        <v>173</v>
      </c>
      <c r="D53" s="1244" t="s">
        <v>174</v>
      </c>
      <c r="E53" s="2236"/>
      <c r="F53" s="2236"/>
      <c r="G53" s="2236"/>
      <c r="H53" s="2235"/>
      <c r="I53" s="1244"/>
      <c r="J53" s="1244"/>
      <c r="K53" s="1244"/>
      <c r="L53" s="1245"/>
      <c r="M53" s="1246"/>
      <c r="N53" s="1246"/>
      <c r="O53" s="464"/>
      <c r="P53" s="284"/>
      <c r="Q53" s="303"/>
      <c r="R53" s="279"/>
      <c r="S53" s="1266"/>
      <c r="T53" s="1267"/>
      <c r="U53" s="1268"/>
      <c r="V53" s="1268"/>
      <c r="W53" s="1268"/>
      <c r="X53" s="1268"/>
      <c r="Y53" s="1268"/>
      <c r="Z53" s="1268"/>
      <c r="AA53" s="1268"/>
      <c r="AB53" s="1268"/>
      <c r="AC53" s="1268"/>
      <c r="AD53" s="1268"/>
      <c r="AE53" s="1268"/>
      <c r="AF53" s="1268"/>
      <c r="AG53" s="1268"/>
      <c r="AH53" s="1268"/>
      <c r="AI53" s="1268"/>
      <c r="AJ53" s="1268"/>
      <c r="AK53" s="1268"/>
      <c r="AL53" s="1268"/>
      <c r="AM53" s="1269"/>
      <c r="AO53" s="428"/>
      <c r="AP53" s="428" t="str">
        <f t="shared" si="1"/>
        <v/>
      </c>
      <c r="AQ53" s="428"/>
      <c r="AR53" s="428"/>
    </row>
    <row r="54" spans="1:44" s="1772" customFormat="1" ht="0.75" customHeight="1">
      <c r="A54" s="1228" t="s">
        <v>171</v>
      </c>
      <c r="B54" s="1228" t="s">
        <v>172</v>
      </c>
      <c r="C54" s="1228" t="s">
        <v>173</v>
      </c>
      <c r="D54" s="1200"/>
      <c r="E54" s="2236"/>
      <c r="F54" s="2236"/>
      <c r="G54" s="2235"/>
      <c r="H54" s="1200"/>
      <c r="I54" s="1200"/>
      <c r="J54" s="1200"/>
      <c r="K54" s="1200"/>
      <c r="L54" s="1224"/>
      <c r="M54" s="1201"/>
      <c r="N54" s="1201"/>
      <c r="P54" s="1202"/>
      <c r="Q54" s="1203"/>
      <c r="R54" s="1202"/>
      <c r="S54" s="1208"/>
      <c r="T54" s="1211" t="s">
        <v>1436</v>
      </c>
      <c r="U54" s="1210"/>
      <c r="V54" s="1210"/>
      <c r="W54" s="1210"/>
      <c r="X54" s="1210"/>
      <c r="Y54" s="1210"/>
      <c r="Z54" s="1210"/>
      <c r="AA54" s="1210"/>
      <c r="AB54" s="1210"/>
      <c r="AC54" s="1210"/>
      <c r="AD54" s="1210"/>
      <c r="AE54" s="1210"/>
      <c r="AF54" s="1210"/>
      <c r="AG54" s="1210"/>
      <c r="AH54" s="1210"/>
      <c r="AI54" s="1210"/>
      <c r="AJ54" s="1210"/>
      <c r="AK54" s="1210"/>
      <c r="AL54" s="1210"/>
      <c r="AM54" s="1210"/>
      <c r="AO54" s="696"/>
      <c r="AP54" s="696" t="str">
        <f t="shared" si="1"/>
        <v>Добавить источник для дифференциации</v>
      </c>
      <c r="AQ54" s="696"/>
      <c r="AR54" s="696"/>
    </row>
    <row r="55" spans="1:44" s="1772" customFormat="1" ht="0.75" customHeight="1">
      <c r="A55" s="1228" t="s">
        <v>171</v>
      </c>
      <c r="B55" s="1228" t="s">
        <v>172</v>
      </c>
      <c r="C55" s="1200"/>
      <c r="D55" s="1200"/>
      <c r="E55" s="2236"/>
      <c r="F55" s="2235"/>
      <c r="G55" s="1200"/>
      <c r="H55" s="1200"/>
      <c r="I55" s="1200"/>
      <c r="J55" s="1200"/>
      <c r="K55" s="1200"/>
      <c r="L55" s="1224"/>
      <c r="M55" s="1207"/>
      <c r="N55" s="1207"/>
      <c r="P55" s="1202"/>
      <c r="Q55" s="1203"/>
      <c r="R55" s="1202"/>
      <c r="S55" s="1208"/>
      <c r="T55" s="1211" t="s">
        <v>1437</v>
      </c>
      <c r="U55" s="1210"/>
      <c r="V55" s="1210"/>
      <c r="W55" s="1210"/>
      <c r="X55" s="1210"/>
      <c r="Y55" s="1210"/>
      <c r="Z55" s="1210"/>
      <c r="AA55" s="1210"/>
      <c r="AB55" s="1210"/>
      <c r="AC55" s="1210"/>
      <c r="AD55" s="1210"/>
      <c r="AE55" s="1210"/>
      <c r="AF55" s="1210"/>
      <c r="AG55" s="1210"/>
      <c r="AH55" s="1210"/>
      <c r="AI55" s="1210"/>
      <c r="AJ55" s="1210"/>
      <c r="AK55" s="1210"/>
      <c r="AL55" s="1210"/>
      <c r="AM55" s="1210"/>
      <c r="AO55" s="696"/>
      <c r="AP55" s="696" t="str">
        <f t="shared" si="1"/>
        <v>Добавить централизованную систему для дифференциации</v>
      </c>
      <c r="AQ55" s="696"/>
      <c r="AR55" s="696"/>
    </row>
    <row r="56" spans="1:44" s="1772" customFormat="1" ht="0.75" customHeight="1">
      <c r="A56" s="1228" t="s">
        <v>171</v>
      </c>
      <c r="B56" s="1228"/>
      <c r="C56" s="1228"/>
      <c r="D56" s="1228"/>
      <c r="E56" s="2235"/>
      <c r="F56" s="1228"/>
      <c r="G56" s="1228"/>
      <c r="H56" s="1228"/>
      <c r="I56" s="1228"/>
      <c r="J56" s="1228"/>
      <c r="K56" s="1228"/>
      <c r="L56" s="1231"/>
      <c r="M56" s="1207"/>
      <c r="N56" s="1207"/>
      <c r="O56" s="446"/>
      <c r="P56" s="311"/>
      <c r="Q56" s="1229"/>
      <c r="R56" s="311"/>
      <c r="S56" s="1208"/>
      <c r="T56" s="1211" t="s">
        <v>1438</v>
      </c>
      <c r="U56" s="1210"/>
      <c r="V56" s="1210"/>
      <c r="W56" s="1210"/>
      <c r="X56" s="1210"/>
      <c r="Y56" s="1210"/>
      <c r="Z56" s="1210"/>
      <c r="AA56" s="1210"/>
      <c r="AB56" s="1210"/>
      <c r="AC56" s="1210"/>
      <c r="AD56" s="1210"/>
      <c r="AE56" s="1210"/>
      <c r="AF56" s="1210"/>
      <c r="AG56" s="1210"/>
      <c r="AH56" s="1210"/>
      <c r="AI56" s="1210"/>
      <c r="AJ56" s="1210"/>
      <c r="AK56" s="1210"/>
      <c r="AL56" s="1210"/>
      <c r="AM56" s="1210"/>
      <c r="AO56" s="428"/>
      <c r="AP56" s="428" t="str">
        <f t="shared" si="1"/>
        <v>Добавить территорию для дифференциации</v>
      </c>
      <c r="AQ56" s="428"/>
      <c r="AR56" s="428"/>
    </row>
    <row r="57" spans="1:44" s="1772" customFormat="1" ht="0.75" customHeight="1">
      <c r="A57" s="1200"/>
      <c r="B57" s="1200"/>
      <c r="C57" s="1200"/>
      <c r="D57" s="1200"/>
      <c r="E57" s="1228"/>
      <c r="F57" s="1200"/>
      <c r="G57" s="1200"/>
      <c r="H57" s="1200"/>
      <c r="I57" s="1200"/>
      <c r="J57" s="1200"/>
      <c r="K57" s="1200"/>
      <c r="L57" s="1224"/>
      <c r="M57" s="1207"/>
      <c r="N57" s="1207"/>
      <c r="P57" s="1202"/>
      <c r="Q57" s="1203"/>
      <c r="R57" s="1202"/>
      <c r="S57" s="1208"/>
      <c r="T57" s="1211" t="s">
        <v>1439</v>
      </c>
      <c r="U57" s="1210"/>
      <c r="V57" s="1210"/>
      <c r="W57" s="1210"/>
      <c r="X57" s="1210"/>
      <c r="Y57" s="1210"/>
      <c r="Z57" s="1210"/>
      <c r="AA57" s="1210"/>
      <c r="AB57" s="1210"/>
      <c r="AC57" s="1210"/>
      <c r="AD57" s="1210"/>
      <c r="AE57" s="1210"/>
      <c r="AF57" s="1210"/>
      <c r="AG57" s="1210"/>
      <c r="AH57" s="1210"/>
      <c r="AI57" s="1210"/>
      <c r="AJ57" s="1210"/>
      <c r="AK57" s="1210"/>
      <c r="AL57" s="1210"/>
      <c r="AM57" s="1210"/>
      <c r="AO57" s="696"/>
      <c r="AP57" s="696" t="str">
        <f t="shared" si="1"/>
        <v>Добавить наименование тарифа</v>
      </c>
      <c r="AQ57" s="696"/>
      <c r="AR57" s="696"/>
    </row>
    <row r="58" spans="1:44" ht="11.25" hidden="1" customHeight="1">
      <c r="M58" s="1036"/>
      <c r="N58" s="1036"/>
      <c r="O58" s="464"/>
      <c r="P58" s="1031"/>
      <c r="Q58" s="1031"/>
      <c r="R58" s="1031"/>
      <c r="S58" s="1031"/>
      <c r="AN58" s="1031"/>
      <c r="AO58" s="1031"/>
      <c r="AP58" s="1031"/>
      <c r="AQ58" s="1031"/>
      <c r="AR58" s="1031"/>
    </row>
    <row r="59" spans="1:44" ht="18.75" hidden="1" customHeight="1">
      <c r="O59" s="464"/>
      <c r="S59" s="1128" t="s">
        <v>1509</v>
      </c>
      <c r="T59" s="2234" t="s">
        <v>1518</v>
      </c>
      <c r="U59" s="2234"/>
      <c r="V59" s="2234"/>
      <c r="W59" s="2234"/>
      <c r="X59" s="2234"/>
      <c r="Y59" s="2234"/>
      <c r="Z59" s="2234"/>
      <c r="AA59" s="2234"/>
      <c r="AB59" s="2234"/>
      <c r="AC59" s="2234"/>
      <c r="AD59" s="2234"/>
      <c r="AE59" s="2234"/>
      <c r="AF59" s="2234"/>
      <c r="AG59" s="2234"/>
      <c r="AH59" s="2234"/>
      <c r="AI59" s="2234"/>
      <c r="AJ59" s="2234"/>
      <c r="AK59" s="2234"/>
      <c r="AL59" s="2234"/>
      <c r="AM59" s="2234"/>
    </row>
    <row r="60" spans="1:44" ht="27.75" hidden="1" customHeight="1">
      <c r="O60" s="464"/>
      <c r="T60" s="2234" t="s">
        <v>1519</v>
      </c>
      <c r="U60" s="2234"/>
      <c r="V60" s="2234"/>
      <c r="W60" s="2234"/>
      <c r="X60" s="2234"/>
      <c r="Y60" s="2234"/>
      <c r="Z60" s="2234"/>
      <c r="AA60" s="2234"/>
      <c r="AB60" s="2234"/>
      <c r="AC60" s="2234"/>
      <c r="AD60" s="2234"/>
      <c r="AE60" s="2234"/>
      <c r="AF60" s="2234"/>
      <c r="AG60" s="2234"/>
      <c r="AH60" s="2234"/>
      <c r="AI60" s="2234"/>
      <c r="AJ60" s="2234"/>
      <c r="AK60" s="2234"/>
      <c r="AL60" s="2234"/>
      <c r="AM60" s="2234"/>
    </row>
    <row r="61" spans="1:44" ht="39.75" hidden="1" customHeight="1">
      <c r="O61" s="464"/>
      <c r="T61" s="2234" t="s">
        <v>1520</v>
      </c>
      <c r="U61" s="2234"/>
      <c r="V61" s="2234"/>
      <c r="W61" s="2234"/>
      <c r="X61" s="2234"/>
      <c r="Y61" s="2234"/>
      <c r="Z61" s="2234"/>
      <c r="AA61" s="2234"/>
      <c r="AB61" s="2234"/>
      <c r="AC61" s="2234"/>
      <c r="AD61" s="2234"/>
      <c r="AE61" s="2234"/>
      <c r="AF61" s="2234"/>
      <c r="AG61" s="2234"/>
      <c r="AH61" s="2234"/>
      <c r="AI61" s="2234"/>
      <c r="AJ61" s="2234"/>
      <c r="AK61" s="2234"/>
      <c r="AL61" s="2234"/>
      <c r="AM61" s="2234"/>
    </row>
    <row r="62" spans="1:44" ht="14.25" hidden="1" customHeight="1">
      <c r="O62" s="464"/>
    </row>
    <row r="63" spans="1:44" ht="19.5" hidden="1" customHeight="1">
      <c r="O63" s="464"/>
      <c r="S63" s="1128" t="s">
        <v>1509</v>
      </c>
      <c r="T63" s="2063" t="s">
        <v>1512</v>
      </c>
      <c r="U63" s="2234"/>
      <c r="V63" s="2234"/>
      <c r="W63" s="2234"/>
      <c r="X63" s="2234"/>
      <c r="Y63" s="2234"/>
      <c r="Z63" s="2234"/>
      <c r="AA63" s="2234"/>
      <c r="AB63" s="2234"/>
      <c r="AC63" s="2234"/>
      <c r="AD63" s="2234"/>
      <c r="AE63" s="2234"/>
      <c r="AF63" s="2234"/>
      <c r="AG63" s="2234"/>
      <c r="AH63" s="2234"/>
      <c r="AI63" s="2234"/>
      <c r="AJ63" s="2234"/>
      <c r="AK63" s="2234"/>
      <c r="AL63" s="2234"/>
      <c r="AM63" s="2234"/>
    </row>
    <row r="64" spans="1:44" ht="27.75" hidden="1" customHeight="1">
      <c r="O64" s="464"/>
      <c r="T64" s="2234" t="s">
        <v>1521</v>
      </c>
      <c r="U64" s="2234"/>
      <c r="V64" s="2234"/>
      <c r="W64" s="2234"/>
      <c r="X64" s="2234"/>
      <c r="Y64" s="2234"/>
      <c r="Z64" s="2234"/>
      <c r="AA64" s="2234"/>
      <c r="AB64" s="2234"/>
      <c r="AC64" s="2234"/>
      <c r="AD64" s="2234"/>
      <c r="AE64" s="2234"/>
      <c r="AF64" s="2234"/>
      <c r="AG64" s="2234"/>
      <c r="AH64" s="2234"/>
      <c r="AI64" s="2234"/>
      <c r="AJ64" s="2234"/>
      <c r="AK64" s="2234"/>
      <c r="AL64" s="2234"/>
      <c r="AM64" s="2234"/>
    </row>
    <row r="65" spans="20:39" ht="33.75" hidden="1" customHeight="1">
      <c r="T65" s="2234" t="s">
        <v>1522</v>
      </c>
      <c r="U65" s="2234"/>
      <c r="V65" s="2234"/>
      <c r="W65" s="2234"/>
      <c r="X65" s="2234"/>
      <c r="Y65" s="2234"/>
      <c r="Z65" s="2234"/>
      <c r="AA65" s="2234"/>
      <c r="AB65" s="2234"/>
      <c r="AC65" s="2234"/>
      <c r="AD65" s="2234"/>
      <c r="AE65" s="2234"/>
      <c r="AF65" s="2234"/>
      <c r="AG65" s="2234"/>
      <c r="AH65" s="2234"/>
      <c r="AI65" s="2234"/>
      <c r="AJ65" s="2234"/>
      <c r="AK65" s="2234"/>
      <c r="AL65" s="2234"/>
      <c r="AM65" s="2234"/>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P76"/>
  <sheetViews>
    <sheetView showGridLines="0" topLeftCell="C1" zoomScale="90" workbookViewId="0">
      <selection activeCell="E2" sqref="E2"/>
    </sheetView>
  </sheetViews>
  <sheetFormatPr defaultColWidth="9.140625" defaultRowHeight="11.25" customHeight="1"/>
  <cols>
    <col min="1" max="1" width="10.7109375" style="1637" hidden="1" customWidth="1"/>
    <col min="2" max="2" width="10.7109375" style="1721" hidden="1" customWidth="1"/>
    <col min="3" max="3" width="3.7109375" style="1638" customWidth="1"/>
    <col min="4" max="4" width="1.7109375" style="1846" customWidth="1"/>
    <col min="5" max="5" width="55.28515625" style="1846" customWidth="1"/>
    <col min="6" max="6" width="50.7109375" style="1846" customWidth="1"/>
    <col min="7" max="7" width="1.7109375" style="1748" customWidth="1"/>
    <col min="8" max="8" width="18" style="1846" hidden="1" customWidth="1"/>
    <col min="9" max="9" width="9.5703125" style="1696" customWidth="1"/>
    <col min="10" max="10" width="52.140625" style="1759" hidden="1" customWidth="1"/>
    <col min="11" max="11" width="9.140625" style="1846"/>
    <col min="12" max="12" width="78" style="1846" customWidth="1"/>
    <col min="13" max="16" width="9.140625" style="1846"/>
  </cols>
  <sheetData>
    <row r="1" spans="1:11" s="1724" customFormat="1" ht="3" customHeight="1">
      <c r="A1" s="690"/>
      <c r="B1" s="161"/>
      <c r="F1" s="162">
        <v>26354809</v>
      </c>
      <c r="G1" s="346"/>
      <c r="H1" s="11"/>
      <c r="I1" s="346"/>
      <c r="J1" s="770"/>
    </row>
    <row r="2" spans="1:11" s="1741" customFormat="1" ht="14.25" customHeight="1">
      <c r="A2" s="690"/>
      <c r="B2" s="36"/>
      <c r="E2" s="1602" t="str">
        <f>code</f>
        <v>Код отчёта: PP110.OPEN.INFO.BALANCE.HEAT.EIAS</v>
      </c>
      <c r="F2" s="187"/>
      <c r="G2" s="1633"/>
      <c r="H2" s="1633"/>
      <c r="I2" s="1633"/>
      <c r="J2" s="1634"/>
      <c r="K2" s="1633"/>
    </row>
    <row r="3" spans="1:11" ht="14.25" customHeight="1">
      <c r="E3" s="165" t="str">
        <f>version</f>
        <v>Версия отчёта: 1.0.0</v>
      </c>
      <c r="F3" s="187"/>
      <c r="G3" s="678"/>
      <c r="H3" s="678"/>
      <c r="I3" s="678"/>
      <c r="J3" s="771"/>
      <c r="K3" s="27"/>
    </row>
    <row r="4" spans="1:11" s="1653" customFormat="1" ht="6" customHeight="1">
      <c r="A4" s="691"/>
      <c r="B4" s="153"/>
      <c r="C4" s="154"/>
      <c r="D4" s="155"/>
      <c r="E4" s="163"/>
      <c r="F4" s="164"/>
      <c r="G4" s="679"/>
      <c r="H4" s="344"/>
      <c r="I4" s="346"/>
      <c r="J4" s="772"/>
    </row>
    <row r="5" spans="1:11" ht="37.5" customHeight="1">
      <c r="D5" s="13"/>
      <c r="E5" s="2002"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003"/>
      <c r="G5" s="680"/>
      <c r="J5" s="773"/>
    </row>
    <row r="6" spans="1:11" s="1653" customFormat="1" ht="6" customHeight="1">
      <c r="A6" s="691"/>
      <c r="B6" s="153"/>
      <c r="C6" s="154"/>
      <c r="D6" s="155"/>
      <c r="E6" s="157"/>
      <c r="F6" s="158"/>
      <c r="G6" s="680"/>
      <c r="H6" s="344"/>
      <c r="I6" s="346"/>
      <c r="J6" s="772"/>
    </row>
    <row r="7" spans="1:11" ht="19.5" customHeight="1">
      <c r="D7" s="13"/>
      <c r="E7" s="323" t="s">
        <v>13</v>
      </c>
      <c r="F7" s="137" t="s">
        <v>14</v>
      </c>
      <c r="G7" s="680"/>
    </row>
    <row r="8" spans="1:11" s="1653" customFormat="1" ht="6" customHeight="1">
      <c r="A8" s="692"/>
      <c r="B8" s="153"/>
      <c r="C8" s="154"/>
      <c r="D8" s="159"/>
      <c r="E8" s="157"/>
      <c r="F8" s="160"/>
      <c r="G8" s="15"/>
      <c r="H8" s="344"/>
      <c r="I8" s="346"/>
      <c r="J8" s="775"/>
    </row>
    <row r="9" spans="1:11" ht="22.5" hidden="1" customHeight="1">
      <c r="A9" s="2005" t="s">
        <v>15</v>
      </c>
      <c r="D9" s="13"/>
      <c r="E9" s="1631" t="s">
        <v>16</v>
      </c>
      <c r="F9" s="1629" t="s">
        <v>17</v>
      </c>
      <c r="G9" s="15"/>
      <c r="H9" s="681" t="s">
        <v>18</v>
      </c>
      <c r="J9" s="774" t="s">
        <v>19</v>
      </c>
    </row>
    <row r="10" spans="1:11" ht="22.5" hidden="1" customHeight="1">
      <c r="A10" s="2005"/>
      <c r="D10" s="13"/>
      <c r="E10" s="1631" t="s">
        <v>20</v>
      </c>
      <c r="F10" s="1629"/>
      <c r="G10" s="12"/>
      <c r="J10" s="774" t="s">
        <v>21</v>
      </c>
    </row>
    <row r="11" spans="1:11" s="1846" customFormat="1" ht="22.5" hidden="1" customHeight="1">
      <c r="A11" s="695" t="s">
        <v>22</v>
      </c>
      <c r="B11" s="36"/>
      <c r="C11" s="343"/>
      <c r="D11" s="345"/>
      <c r="E11" s="1631" t="s">
        <v>23</v>
      </c>
      <c r="F11" s="1629" t="s">
        <v>17</v>
      </c>
      <c r="G11" s="15"/>
      <c r="H11" s="678"/>
      <c r="I11" s="346"/>
      <c r="J11" s="774" t="s">
        <v>24</v>
      </c>
    </row>
    <row r="12" spans="1:11" s="1846" customFormat="1" ht="27" customHeight="1">
      <c r="A12" s="695" t="s">
        <v>25</v>
      </c>
      <c r="B12" s="36"/>
      <c r="C12" s="343"/>
      <c r="D12" s="345"/>
      <c r="E12" s="1631" t="s">
        <v>26</v>
      </c>
      <c r="F12" s="1635">
        <v>2023</v>
      </c>
      <c r="G12" s="15"/>
      <c r="H12" s="678"/>
      <c r="I12" s="346"/>
      <c r="J12" s="774" t="s">
        <v>27</v>
      </c>
    </row>
    <row r="13" spans="1:11" s="1846" customFormat="1" ht="19.5" hidden="1" customHeight="1">
      <c r="A13" s="695" t="s">
        <v>28</v>
      </c>
      <c r="B13" s="36"/>
      <c r="C13" s="343"/>
      <c r="D13" s="345"/>
      <c r="E13" s="1631" t="s">
        <v>29</v>
      </c>
      <c r="F13" s="1630"/>
      <c r="G13" s="15"/>
      <c r="H13" s="678"/>
      <c r="I13" s="346"/>
      <c r="J13" s="774" t="s">
        <v>30</v>
      </c>
    </row>
    <row r="14" spans="1:11" s="1653" customFormat="1" ht="6" customHeight="1">
      <c r="A14" s="692"/>
      <c r="B14" s="153"/>
      <c r="C14" s="154"/>
      <c r="D14" s="159"/>
      <c r="E14" s="157"/>
      <c r="F14" s="160"/>
      <c r="G14" s="15"/>
      <c r="H14" s="344"/>
      <c r="I14" s="346"/>
      <c r="J14" s="772"/>
    </row>
    <row r="15" spans="1:11" ht="19.5" customHeight="1">
      <c r="D15" s="13"/>
      <c r="E15" s="323" t="s">
        <v>31</v>
      </c>
      <c r="F15" s="138" t="s">
        <v>32</v>
      </c>
      <c r="G15" s="12"/>
      <c r="H15" s="681" t="s">
        <v>18</v>
      </c>
    </row>
    <row r="16" spans="1:11" ht="22.5" hidden="1" customHeight="1">
      <c r="D16" s="13"/>
      <c r="E16" s="323" t="s">
        <v>33</v>
      </c>
      <c r="F16" s="1592" t="s">
        <v>34</v>
      </c>
      <c r="G16" s="12"/>
      <c r="I16" s="682"/>
      <c r="J16" s="2004" t="s">
        <v>35</v>
      </c>
    </row>
    <row r="17" spans="1:10" ht="22.5" hidden="1" customHeight="1">
      <c r="D17" s="13"/>
      <c r="E17" s="323" t="s">
        <v>36</v>
      </c>
      <c r="F17" s="1592"/>
      <c r="G17" s="12"/>
      <c r="I17" s="682"/>
      <c r="J17" s="2004"/>
    </row>
    <row r="18" spans="1:10" ht="22.5" hidden="1" customHeight="1">
      <c r="D18" s="13"/>
      <c r="E18" s="14"/>
      <c r="F18" s="188" t="str">
        <f>"Первичное "&amp;IF(TEMPLATE_GROUP="P","установление тарифов","предложение по тарифам")</f>
        <v>Первичное предложение по тарифам</v>
      </c>
      <c r="G18" s="12"/>
      <c r="I18" s="326"/>
      <c r="J18" s="773" t="s">
        <v>37</v>
      </c>
    </row>
    <row r="19" spans="1:10" ht="19.5" hidden="1" customHeight="1">
      <c r="D19" s="13"/>
      <c r="E19" s="323" t="str">
        <f>"Дата "&amp;IF(TEMPLATE_GROUP="P","документа","подачи заявления")&amp;" об "&amp;IF(TITLE_DATE_PR_CHANGE="","утверждении","изменении")&amp;" тарифов"</f>
        <v>Дата подачи заявления об утверждении тарифов</v>
      </c>
      <c r="F19" s="1591" t="s">
        <v>17</v>
      </c>
      <c r="G19" s="12"/>
      <c r="I19" s="683"/>
    </row>
    <row r="20" spans="1:10" ht="19.5" hidden="1" customHeight="1">
      <c r="D20" s="13"/>
      <c r="E20" s="323" t="str">
        <f>"Номер "&amp;IF(TEMPLATE_GROUP="P","документа","подачи заявления")&amp;" об "&amp;IF(TITLE_NUMBER_PR_CHANGE="","утверждении","изменении")&amp;" тарифов"</f>
        <v>Номер подачи заявления об утверждении тарифов</v>
      </c>
      <c r="F20" s="138"/>
      <c r="G20" s="12"/>
      <c r="I20" s="683"/>
    </row>
    <row r="21" spans="1:10" ht="22.5" hidden="1" customHeight="1">
      <c r="D21" s="13"/>
      <c r="E21" s="323" t="s">
        <v>38</v>
      </c>
      <c r="F21" s="138"/>
      <c r="G21" s="12"/>
    </row>
    <row r="22" spans="1:10" ht="19.5" hidden="1" customHeight="1">
      <c r="D22" s="13"/>
      <c r="E22" s="323" t="s">
        <v>39</v>
      </c>
      <c r="F22" s="138"/>
      <c r="G22" s="12"/>
    </row>
    <row r="23" spans="1:10" ht="22.5" hidden="1" customHeight="1">
      <c r="D23" s="13"/>
      <c r="E23" s="14"/>
      <c r="F23" s="188" t="str">
        <f>"Изменение "&amp;IF(TEMPLATE_GROUP="P","тарифов","предложения по тарифам")</f>
        <v>Изменение предложения по тарифам</v>
      </c>
      <c r="G23" s="12"/>
      <c r="J23" s="773" t="s">
        <v>40</v>
      </c>
    </row>
    <row r="24" spans="1:10" ht="22.5" hidden="1" customHeight="1">
      <c r="D24" s="13"/>
      <c r="E24" s="323" t="s">
        <v>41</v>
      </c>
      <c r="F24" s="140"/>
      <c r="G24" s="12"/>
    </row>
    <row r="25" spans="1:10" ht="19.5" hidden="1" customHeight="1">
      <c r="D25" s="13"/>
      <c r="E25" s="323" t="s">
        <v>42</v>
      </c>
      <c r="F25" s="1592"/>
      <c r="G25" s="12"/>
    </row>
    <row r="26" spans="1:10" ht="19.5" hidden="1" customHeight="1">
      <c r="D26" s="13"/>
      <c r="E26" s="323" t="s">
        <v>43</v>
      </c>
      <c r="F26" s="140"/>
      <c r="G26" s="12"/>
    </row>
    <row r="27" spans="1:10" ht="19.5" hidden="1" customHeight="1">
      <c r="D27" s="13"/>
      <c r="E27" s="323" t="s">
        <v>39</v>
      </c>
      <c r="F27" s="140"/>
      <c r="G27" s="12"/>
    </row>
    <row r="28" spans="1:10" s="1653" customFormat="1" ht="6" customHeight="1">
      <c r="A28" s="692"/>
      <c r="B28" s="153"/>
      <c r="C28" s="154"/>
      <c r="D28" s="159"/>
      <c r="E28" s="157"/>
      <c r="F28" s="160"/>
      <c r="G28" s="15"/>
      <c r="H28" s="344"/>
      <c r="I28" s="346"/>
      <c r="J28" s="772"/>
    </row>
    <row r="29" spans="1:10" ht="19.5" customHeight="1">
      <c r="C29" s="16"/>
      <c r="D29" s="17"/>
      <c r="E29" s="323" t="s">
        <v>44</v>
      </c>
      <c r="F29" s="139" t="s">
        <v>45</v>
      </c>
      <c r="G29" s="684"/>
    </row>
    <row r="30" spans="1:10" ht="19.5" hidden="1" customHeight="1">
      <c r="C30" s="16"/>
      <c r="D30" s="17"/>
      <c r="E30" s="324" t="s">
        <v>46</v>
      </c>
      <c r="F30" s="1632"/>
      <c r="G30" s="684"/>
    </row>
    <row r="31" spans="1:10" ht="19.5" customHeight="1">
      <c r="C31" s="16"/>
      <c r="D31" s="17"/>
      <c r="E31" s="323" t="s">
        <v>47</v>
      </c>
      <c r="F31" s="139" t="s">
        <v>48</v>
      </c>
      <c r="G31" s="684"/>
    </row>
    <row r="32" spans="1:10" ht="19.5" customHeight="1">
      <c r="C32" s="16"/>
      <c r="D32" s="17"/>
      <c r="E32" s="323" t="s">
        <v>49</v>
      </c>
      <c r="F32" s="139" t="s">
        <v>50</v>
      </c>
      <c r="G32" s="684"/>
      <c r="H32" s="18"/>
    </row>
    <row r="33" spans="1:10" s="1653" customFormat="1" ht="11.25" customHeight="1">
      <c r="A33" s="692"/>
      <c r="B33" s="153"/>
      <c r="C33" s="154"/>
      <c r="D33" s="159"/>
      <c r="E33" s="157"/>
      <c r="F33" s="160"/>
      <c r="G33" s="15"/>
      <c r="H33" s="344"/>
      <c r="I33" s="346"/>
      <c r="J33" s="772"/>
    </row>
    <row r="34" spans="1:10" ht="28.5" customHeight="1">
      <c r="A34" s="777"/>
      <c r="D34" s="17"/>
      <c r="E34" s="323" t="s">
        <v>51</v>
      </c>
      <c r="F34" s="272" t="s">
        <v>52</v>
      </c>
      <c r="G34" s="15"/>
    </row>
    <row r="35" spans="1:10" ht="19.5" customHeight="1">
      <c r="A35" s="777"/>
      <c r="D35" s="17"/>
      <c r="E35" s="323" t="s">
        <v>53</v>
      </c>
      <c r="F35" s="272" t="s">
        <v>54</v>
      </c>
      <c r="G35" s="15"/>
    </row>
    <row r="36" spans="1:10" s="1653" customFormat="1" ht="6" customHeight="1">
      <c r="A36" s="692"/>
      <c r="B36" s="153"/>
      <c r="C36" s="154"/>
      <c r="D36" s="155"/>
      <c r="E36" s="156"/>
      <c r="F36" s="939"/>
      <c r="G36" s="12"/>
      <c r="H36" s="344"/>
      <c r="I36" s="346"/>
      <c r="J36" s="774"/>
    </row>
    <row r="37" spans="1:10" ht="22.5" customHeight="1">
      <c r="A37" s="692"/>
      <c r="D37" s="13"/>
      <c r="E37" s="323" t="s">
        <v>55</v>
      </c>
      <c r="F37" s="624" t="s">
        <v>56</v>
      </c>
      <c r="G37" s="12"/>
      <c r="H37" s="681" t="s">
        <v>18</v>
      </c>
    </row>
    <row r="38" spans="1:10" s="1653" customFormat="1" ht="6" hidden="1" customHeight="1">
      <c r="A38" s="691"/>
      <c r="B38" s="360"/>
      <c r="C38" s="361"/>
      <c r="D38" s="362"/>
      <c r="E38" s="363"/>
      <c r="F38" s="939"/>
      <c r="G38" s="12"/>
      <c r="H38" s="344"/>
      <c r="I38" s="346"/>
      <c r="J38" s="774"/>
    </row>
    <row r="39" spans="1:10" s="1846" customFormat="1" ht="19.5" hidden="1" customHeight="1">
      <c r="A39" s="695" t="s">
        <v>22</v>
      </c>
      <c r="B39" s="348"/>
      <c r="C39" s="343"/>
      <c r="D39" s="345"/>
      <c r="E39" s="323" t="str">
        <f>"Дифференциация информации по централизованным системам  "&amp;TEMPLATE_SPHERE_RUS</f>
        <v>Дифференциация информации по централизованным системам  теплоснабжения</v>
      </c>
      <c r="F39" s="624" t="s">
        <v>56</v>
      </c>
      <c r="G39" s="12"/>
      <c r="I39" s="346"/>
      <c r="J39" s="774"/>
    </row>
    <row r="40" spans="1:10" s="1653" customFormat="1" ht="6" hidden="1" customHeight="1">
      <c r="A40" s="691"/>
      <c r="B40" s="360"/>
      <c r="C40" s="361"/>
      <c r="D40" s="362"/>
      <c r="E40" s="363"/>
      <c r="F40" s="939"/>
      <c r="G40" s="12"/>
      <c r="H40" s="344"/>
      <c r="I40" s="346"/>
      <c r="J40" s="772"/>
    </row>
    <row r="41" spans="1:10" s="1846" customFormat="1" ht="22.5" hidden="1" customHeight="1">
      <c r="A41" s="691"/>
      <c r="B41" s="348"/>
      <c r="C41" s="343"/>
      <c r="D41" s="345"/>
      <c r="E41" s="323" t="s">
        <v>57</v>
      </c>
      <c r="F41" s="624"/>
      <c r="G41" s="12"/>
      <c r="I41" s="346"/>
      <c r="J41" s="774"/>
    </row>
    <row r="42" spans="1:10" s="1846" customFormat="1" ht="22.5" hidden="1" customHeight="1">
      <c r="A42" s="691"/>
      <c r="B42" s="348"/>
      <c r="C42" s="343"/>
      <c r="D42" s="345"/>
      <c r="E42" s="1041" t="s">
        <v>58</v>
      </c>
      <c r="F42" s="664"/>
      <c r="G42" s="12"/>
      <c r="I42" s="346"/>
      <c r="J42" s="774"/>
    </row>
    <row r="43" spans="1:10" s="1653" customFormat="1" ht="6" hidden="1" customHeight="1">
      <c r="A43" s="691"/>
      <c r="B43" s="360"/>
      <c r="C43" s="361"/>
      <c r="D43" s="362"/>
      <c r="E43" s="363"/>
      <c r="F43" s="939"/>
      <c r="G43" s="12"/>
      <c r="H43" s="344"/>
      <c r="I43" s="346"/>
      <c r="J43" s="774"/>
    </row>
    <row r="44" spans="1:10" s="1653" customFormat="1" ht="22.5" hidden="1" customHeight="1">
      <c r="A44" s="691"/>
      <c r="B44" s="360"/>
      <c r="C44" s="361"/>
      <c r="D44" s="362"/>
      <c r="E44" s="1041" t="s">
        <v>59</v>
      </c>
      <c r="F44" s="624" t="s">
        <v>56</v>
      </c>
      <c r="G44" s="12"/>
      <c r="H44" s="344"/>
      <c r="I44" s="346"/>
      <c r="J44" s="774"/>
    </row>
    <row r="45" spans="1:10" s="1846" customFormat="1" ht="22.5" hidden="1" customHeight="1">
      <c r="A45" s="691"/>
      <c r="B45" s="348"/>
      <c r="C45" s="343"/>
      <c r="D45" s="345"/>
      <c r="E45" s="1041" t="s">
        <v>60</v>
      </c>
      <c r="F45" s="624" t="s">
        <v>56</v>
      </c>
      <c r="G45" s="12"/>
      <c r="I45" s="346"/>
      <c r="J45" s="774"/>
    </row>
    <row r="46" spans="1:10" s="1653" customFormat="1" ht="6" hidden="1" customHeight="1">
      <c r="A46" s="691"/>
      <c r="B46" s="153"/>
      <c r="C46" s="154"/>
      <c r="D46" s="155"/>
      <c r="E46" s="156"/>
      <c r="F46" s="939"/>
      <c r="G46" s="12"/>
      <c r="H46" s="344"/>
      <c r="I46" s="346"/>
      <c r="J46" s="774"/>
    </row>
    <row r="47" spans="1:10" ht="19.5" hidden="1" customHeight="1">
      <c r="B47" s="77"/>
      <c r="D47" s="13"/>
      <c r="E47" s="32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7" s="624"/>
      <c r="G47" s="12"/>
    </row>
    <row r="48" spans="1:10" s="1653" customFormat="1" ht="6" customHeight="1">
      <c r="A48" s="692"/>
      <c r="B48" s="360"/>
      <c r="C48" s="361"/>
      <c r="D48" s="159"/>
      <c r="E48" s="157"/>
      <c r="F48" s="160"/>
      <c r="G48" s="15"/>
      <c r="H48" s="344"/>
      <c r="I48" s="346"/>
      <c r="J48" s="774"/>
    </row>
    <row r="49" spans="1:16" s="1846" customFormat="1" ht="22.5" customHeight="1">
      <c r="A49" s="693"/>
      <c r="B49" s="348"/>
      <c r="C49" s="458"/>
      <c r="D49" s="459"/>
      <c r="E49" s="323" t="s">
        <v>61</v>
      </c>
      <c r="F49" s="624" t="s">
        <v>56</v>
      </c>
      <c r="G49" s="460"/>
      <c r="I49" s="461"/>
      <c r="J49" s="776"/>
      <c r="P49" s="462"/>
    </row>
    <row r="50" spans="1:16" s="1653" customFormat="1" ht="6" customHeight="1">
      <c r="A50" s="692"/>
      <c r="B50" s="360"/>
      <c r="C50" s="361"/>
      <c r="D50" s="159"/>
      <c r="E50" s="157"/>
      <c r="F50" s="160"/>
      <c r="G50" s="15"/>
      <c r="H50" s="344"/>
      <c r="I50" s="346"/>
      <c r="J50" s="772"/>
    </row>
    <row r="51" spans="1:16" s="1846" customFormat="1" ht="22.5" customHeight="1">
      <c r="A51" s="693"/>
      <c r="B51" s="348"/>
      <c r="C51" s="458"/>
      <c r="D51" s="459"/>
      <c r="E51" s="323" t="s">
        <v>62</v>
      </c>
      <c r="F51" s="934" t="s">
        <v>56</v>
      </c>
      <c r="G51" s="460"/>
      <c r="I51" s="461"/>
      <c r="J51" s="776"/>
      <c r="P51" s="462"/>
    </row>
    <row r="52" spans="1:16" s="1846" customFormat="1" ht="22.5" hidden="1" customHeight="1">
      <c r="A52" s="693"/>
      <c r="B52" s="348"/>
      <c r="C52" s="458"/>
      <c r="D52" s="459"/>
      <c r="E52" s="323" t="s">
        <v>63</v>
      </c>
      <c r="F52" s="940"/>
      <c r="G52" s="460"/>
      <c r="I52" s="461"/>
      <c r="J52" s="776"/>
      <c r="P52" s="462"/>
    </row>
    <row r="53" spans="1:16" s="1653" customFormat="1" ht="6" customHeight="1">
      <c r="A53" s="692"/>
      <c r="B53" s="360"/>
      <c r="C53" s="361"/>
      <c r="D53" s="159"/>
      <c r="E53" s="157"/>
      <c r="F53" s="160"/>
      <c r="G53" s="15"/>
      <c r="H53" s="344"/>
      <c r="I53" s="346"/>
      <c r="J53" s="772"/>
    </row>
    <row r="54" spans="1:16" s="1846" customFormat="1" ht="22.5" customHeight="1">
      <c r="A54" s="693"/>
      <c r="B54" s="348"/>
      <c r="C54" s="458"/>
      <c r="D54" s="459"/>
      <c r="E54" s="323" t="s">
        <v>64</v>
      </c>
      <c r="F54" s="934" t="s">
        <v>56</v>
      </c>
      <c r="G54" s="460"/>
      <c r="I54" s="461"/>
      <c r="J54" s="776"/>
      <c r="P54" s="462"/>
    </row>
    <row r="55" spans="1:16" s="1653" customFormat="1" ht="6" customHeight="1">
      <c r="A55" s="692"/>
      <c r="B55" s="360"/>
      <c r="C55" s="361"/>
      <c r="D55" s="159"/>
      <c r="E55" s="157"/>
      <c r="F55" s="160"/>
      <c r="G55" s="15"/>
      <c r="H55" s="344"/>
      <c r="I55" s="346"/>
      <c r="J55" s="772"/>
    </row>
    <row r="56" spans="1:16" s="1846" customFormat="1" ht="15" customHeight="1">
      <c r="A56" s="693"/>
      <c r="B56" s="348"/>
      <c r="C56" s="458"/>
      <c r="D56" s="459"/>
      <c r="E56" s="323" t="s">
        <v>65</v>
      </c>
      <c r="F56" s="934" t="s">
        <v>66</v>
      </c>
      <c r="G56" s="460"/>
      <c r="I56" s="461"/>
      <c r="J56" s="776"/>
      <c r="P56" s="462"/>
    </row>
    <row r="57" spans="1:16" s="1846" customFormat="1" ht="77.25" customHeight="1">
      <c r="A57" s="693"/>
      <c r="B57" s="348"/>
      <c r="C57" s="458"/>
      <c r="D57" s="459"/>
      <c r="E57" s="32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7" s="1059" t="s">
        <v>66</v>
      </c>
      <c r="G57" s="460"/>
      <c r="I57" s="461"/>
      <c r="J57" s="776"/>
      <c r="P57" s="462"/>
    </row>
    <row r="58" spans="1:16" s="1846" customFormat="1" ht="15" customHeight="1">
      <c r="A58" s="693"/>
      <c r="B58" s="348"/>
      <c r="C58" s="458"/>
      <c r="D58" s="459"/>
      <c r="E58" s="1041" t="s">
        <v>67</v>
      </c>
      <c r="F58" s="1636" t="s">
        <v>68</v>
      </c>
      <c r="G58" s="460"/>
      <c r="I58" s="461"/>
      <c r="J58" s="776"/>
      <c r="P58" s="462"/>
    </row>
    <row r="59" spans="1:16" s="1653" customFormat="1" ht="6" hidden="1" customHeight="1">
      <c r="A59" s="692"/>
      <c r="B59" s="360"/>
      <c r="C59" s="361"/>
      <c r="D59" s="362"/>
      <c r="E59" s="363"/>
      <c r="F59" s="939"/>
      <c r="G59" s="12"/>
      <c r="H59" s="344"/>
      <c r="I59" s="346"/>
      <c r="J59" s="774"/>
    </row>
    <row r="60" spans="1:16" s="1846" customFormat="1" ht="33.75" hidden="1" customHeight="1">
      <c r="A60" s="692"/>
      <c r="B60" s="36"/>
      <c r="C60" s="343"/>
      <c r="D60" s="345"/>
      <c r="E60" s="1041" t="s">
        <v>69</v>
      </c>
      <c r="F60" s="1531" t="s">
        <v>66</v>
      </c>
      <c r="G60" s="12"/>
      <c r="H60" s="681" t="s">
        <v>18</v>
      </c>
      <c r="I60" s="346"/>
      <c r="J60" s="774"/>
    </row>
    <row r="61" spans="1:16" s="1653" customFormat="1" ht="6" customHeight="1">
      <c r="A61" s="692"/>
      <c r="B61" s="153"/>
      <c r="C61" s="154"/>
      <c r="D61" s="159"/>
      <c r="E61" s="157"/>
      <c r="F61" s="160"/>
      <c r="G61" s="15"/>
      <c r="H61" s="344"/>
      <c r="I61" s="346"/>
      <c r="J61" s="772"/>
    </row>
    <row r="62" spans="1:16" ht="19.5" customHeight="1">
      <c r="A62" s="694"/>
      <c r="B62" s="37"/>
      <c r="D62" s="20"/>
      <c r="E62" s="323" t="s">
        <v>70</v>
      </c>
      <c r="F62" s="138" t="s">
        <v>71</v>
      </c>
      <c r="G62" s="15"/>
    </row>
    <row r="63" spans="1:16" ht="19.5" customHeight="1">
      <c r="A63" s="694"/>
      <c r="B63" s="37"/>
      <c r="D63" s="20"/>
      <c r="E63" s="323" t="s">
        <v>72</v>
      </c>
      <c r="F63" s="138" t="s">
        <v>73</v>
      </c>
      <c r="G63" s="15"/>
    </row>
    <row r="64" spans="1:16" ht="35.25" customHeight="1">
      <c r="D64" s="13"/>
      <c r="E64" s="325" t="s">
        <v>74</v>
      </c>
      <c r="F64" s="941"/>
      <c r="G64" s="12"/>
    </row>
    <row r="65" spans="1:9" ht="19.5" customHeight="1">
      <c r="A65" s="694"/>
      <c r="D65" s="345"/>
      <c r="E65" s="323" t="s">
        <v>75</v>
      </c>
      <c r="F65" s="189" t="s">
        <v>76</v>
      </c>
      <c r="G65" s="15"/>
    </row>
    <row r="66" spans="1:9" ht="19.5" customHeight="1">
      <c r="A66" s="694"/>
      <c r="B66" s="37"/>
      <c r="D66" s="20"/>
      <c r="E66" s="323" t="s">
        <v>77</v>
      </c>
      <c r="F66" s="189" t="s">
        <v>78</v>
      </c>
      <c r="G66" s="15"/>
    </row>
    <row r="67" spans="1:9" ht="19.5" customHeight="1">
      <c r="A67" s="694"/>
      <c r="B67" s="37"/>
      <c r="D67" s="20"/>
      <c r="E67" s="323" t="s">
        <v>79</v>
      </c>
      <c r="F67" s="189" t="s">
        <v>80</v>
      </c>
      <c r="G67" s="15"/>
    </row>
    <row r="68" spans="1:9" ht="19.5" customHeight="1">
      <c r="D68" s="345"/>
      <c r="E68" s="323" t="s">
        <v>81</v>
      </c>
      <c r="F68" s="1983" t="s">
        <v>82</v>
      </c>
      <c r="G68" s="12"/>
    </row>
    <row r="69" spans="1:9" ht="20.25" customHeight="1">
      <c r="A69" s="694"/>
      <c r="D69" s="12"/>
      <c r="F69" s="64"/>
      <c r="G69" s="15"/>
    </row>
    <row r="70" spans="1:9" ht="19.5" customHeight="1">
      <c r="A70" s="694"/>
      <c r="B70" s="37"/>
      <c r="D70" s="20"/>
      <c r="E70" s="19"/>
      <c r="F70" s="65"/>
      <c r="G70" s="15"/>
    </row>
    <row r="71" spans="1:9" ht="19.5" customHeight="1">
      <c r="A71" s="694"/>
      <c r="B71" s="37"/>
      <c r="D71" s="20"/>
      <c r="E71" s="19"/>
      <c r="F71" s="65"/>
      <c r="G71" s="15"/>
    </row>
    <row r="72" spans="1:9" ht="19.5" customHeight="1">
      <c r="A72" s="694"/>
      <c r="B72" s="37"/>
      <c r="D72" s="20"/>
      <c r="E72" s="25"/>
      <c r="F72" s="65"/>
      <c r="G72" s="15"/>
    </row>
    <row r="73" spans="1:9" ht="19.5" customHeight="1">
      <c r="A73" s="694"/>
      <c r="B73" s="37"/>
      <c r="D73" s="20"/>
      <c r="E73" s="19"/>
      <c r="F73" s="65"/>
      <c r="G73" s="15"/>
    </row>
    <row r="76" spans="1:9" ht="11.25" customHeight="1">
      <c r="E76" s="322"/>
      <c r="F76" s="322"/>
      <c r="G76" s="322"/>
      <c r="H76" s="322"/>
      <c r="I76" s="322"/>
    </row>
  </sheetData>
  <sheetProtection formatColumns="0" formatRows="0" insertRows="0" deleteColumns="0" deleteRows="0" sort="0" autoFilter="0"/>
  <mergeCells count="3">
    <mergeCell ref="E5:F5"/>
    <mergeCell ref="J16:J17"/>
    <mergeCell ref="A9:A10"/>
  </mergeCells>
  <dataValidations count="11">
    <dataValidation type="textLength" operator="lessThanOrEqual" allowBlank="1" showInputMessage="1" showErrorMessage="1" errorTitle="Ошибка" error="Допускается ввод не более 900 символов!" sqref="F30">
      <formula1>900</formula1>
    </dataValidation>
    <dataValidation type="list" allowBlank="1" showInputMessage="1" showErrorMessage="1" errorTitle="Ошибка" error="Выберите значение из списка" prompt="Выберите значение из списка" sqref="F58">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2"/>
    <dataValidation type="list" allowBlank="1" showInputMessage="1" showErrorMessage="1" errorTitle="Ошибка" error="Выберите значение из списка" prompt="Выберите значение из списка" sqref="F13">
      <formula1>QUARTER</formula1>
    </dataValidation>
    <dataValidation type="list" allowBlank="1" showInputMessage="1" showErrorMessage="1" errorTitle="Ошибка" error="Выберите значение из списка" prompt="Выберите значение из списка" sqref="F12">
      <formula1>year_list</formula1>
    </dataValidation>
    <dataValidation type="list" allowBlank="1" showInputMessage="1" showErrorMessage="1" errorTitle="Ошибка" error="Выберите значение из списка" prompt="Выберите значение из списка" sqref="F34">
      <formula1>kind_of_org_type</formula1>
    </dataValidation>
    <dataValidation allowBlank="1" showInputMessage="1" showErrorMessage="1" prompt="Для выбора выполните двойной щелчок левой клавиши мыши по соответствующей ячейке." sqref="F47 F51 F54 F56 F49 F37:F39 F41 F43:F45 F60"/>
    <dataValidation type="list" allowBlank="1" showInputMessage="1" showErrorMessage="1" errorTitle="Ошибка" error="Выберите значение из списка" prompt="Выберите значение из списка" sqref="F15">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5 F19 F16:F17 F9:F11"/>
    <dataValidation type="list" allowBlank="1" showInputMessage="1" showErrorMessage="1" errorTitle="Ошибка" error="Выберите значение из списка" prompt="Выберите значение из списка" sqref="F35:F36 F59">
      <formula1>kind_of_NDS</formula1>
    </dataValidation>
    <dataValidation type="textLength" operator="lessThanOrEqual" allowBlank="1" showInputMessage="1" showErrorMessage="1" errorTitle="Ошибка" error="Допускается ввод не более 900 символов!" sqref="F70:F73 F26:F27 F62:F63 F65:F68 F20:F22 F24">
      <formula1>900</formula1>
    </dataValidation>
  </dataValidations>
  <hyperlinks>
    <hyperlink ref="H9" location="Титульный!H9" tooltip="Помощь по работе с полями отчётной формы" display="Как заполнить?"/>
    <hyperlink ref="H15" location="Титульный!H9" tooltip="Помощь по работе с полями отчётной формы" display="Как заполнить?"/>
    <hyperlink ref="H37" location="Титульный!H9" tooltip="Помощь по работе с полями отчётной формы" display="Как заполнить?"/>
    <hyperlink ref="H60" location="Титульный!H9" tooltip="Помощь по работе с полями отчётной формы" display="Как заполнить?"/>
    <hyperlink ref="F68" r:id="rId1"/>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759" hidden="1"/>
    <col min="2" max="2" width="11" style="1759" hidden="1" customWidth="1"/>
    <col min="3" max="3" width="10.5703125" style="1759" hidden="1"/>
    <col min="4" max="4" width="11.85546875" style="1759" hidden="1" customWidth="1"/>
    <col min="5" max="5" width="10" style="1759" hidden="1" customWidth="1"/>
    <col min="6" max="6" width="8.7109375" style="1759" hidden="1" customWidth="1"/>
    <col min="7" max="7" width="7.5703125" style="1759" hidden="1" customWidth="1"/>
    <col min="8" max="8" width="11.42578125" style="1759" hidden="1" customWidth="1"/>
    <col min="9" max="9" width="12" style="1759" hidden="1" customWidth="1"/>
    <col min="10" max="10" width="9.85546875" style="1759" hidden="1" customWidth="1"/>
    <col min="11" max="11" width="11.42578125" style="1759" hidden="1" customWidth="1"/>
    <col min="12" max="12" width="19.140625" style="1758" hidden="1" customWidth="1"/>
    <col min="13" max="14" width="12.28515625" style="1686" hidden="1" customWidth="1"/>
    <col min="15" max="15" width="23.42578125" style="1686" hidden="1" customWidth="1"/>
    <col min="16" max="16" width="3.7109375" style="1740" hidden="1" customWidth="1"/>
    <col min="17" max="18" width="3.7109375" style="1677" customWidth="1"/>
    <col min="19" max="19" width="12.7109375" style="1727" customWidth="1"/>
    <col min="20" max="20" width="32" style="1846" customWidth="1"/>
    <col min="21" max="21" width="0.140625" style="1846" customWidth="1"/>
    <col min="22" max="22" width="24.7109375" style="1846" hidden="1" customWidth="1"/>
    <col min="23" max="23" width="0.140625" style="1846" hidden="1" customWidth="1"/>
    <col min="24" max="25" width="24.7109375" style="1846" hidden="1" customWidth="1"/>
    <col min="26" max="26" width="11.7109375" style="1846" hidden="1" customWidth="1"/>
    <col min="27" max="27" width="3.7109375" style="1846" hidden="1" customWidth="1"/>
    <col min="28" max="28" width="11.7109375" style="1846" hidden="1" customWidth="1"/>
    <col min="29" max="29" width="8.5703125" style="1846" hidden="1" customWidth="1"/>
    <col min="30" max="30" width="24.7109375" style="1846" customWidth="1"/>
    <col min="31" max="31" width="0.140625" style="1846" customWidth="1"/>
    <col min="32" max="33" width="24.7109375" style="1846" customWidth="1"/>
    <col min="34" max="34" width="11.7109375" style="1846" customWidth="1"/>
    <col min="35" max="35" width="3.7109375" style="1846" customWidth="1"/>
    <col min="36" max="36" width="11.7109375" style="1846" customWidth="1"/>
    <col min="37" max="37" width="8.5703125" style="1846" hidden="1" customWidth="1"/>
    <col min="38" max="38" width="4.7109375" style="1846" customWidth="1"/>
    <col min="39" max="39" width="115.7109375" style="1846" customWidth="1"/>
    <col min="40" max="41" width="10.5703125" style="1772"/>
    <col min="42" max="42" width="11.140625" style="1772" customWidth="1"/>
    <col min="43" max="44" width="10.5703125" style="1772"/>
  </cols>
  <sheetData>
    <row r="1" spans="1:44" ht="14.25" hidden="1" customHeight="1">
      <c r="Y1" s="254"/>
      <c r="Z1" s="254"/>
      <c r="AG1" s="254"/>
      <c r="AH1" s="254"/>
    </row>
    <row r="2" spans="1:44" ht="21" hidden="1" customHeight="1">
      <c r="A2" s="1244"/>
      <c r="B2" s="1244"/>
      <c r="C2" s="1244"/>
      <c r="D2" s="1244"/>
      <c r="E2" s="2235">
        <v>1</v>
      </c>
      <c r="F2" s="1244"/>
      <c r="G2" s="1244"/>
      <c r="H2" s="1244"/>
      <c r="I2" s="1244"/>
      <c r="J2" s="1244"/>
      <c r="K2" s="1244"/>
      <c r="L2" s="1245"/>
      <c r="M2" s="1246"/>
      <c r="N2" s="1246"/>
      <c r="O2" s="1246"/>
      <c r="P2" s="285"/>
      <c r="Q2" s="284"/>
      <c r="R2" s="279"/>
      <c r="S2" s="1221" t="e">
        <f>INDEX(PT_DIFFERENTIATION_NUM_NTAR,MATCH(A2,PT_DIFFERENTIATION_NTAR_ID,0))</f>
        <v>#N/A</v>
      </c>
      <c r="T2" s="216" t="s">
        <v>124</v>
      </c>
      <c r="U2" s="218"/>
      <c r="V2" s="2229"/>
      <c r="W2" s="2230"/>
      <c r="X2" s="2230"/>
      <c r="Y2" s="2230"/>
      <c r="Z2" s="2230"/>
      <c r="AA2" s="2230"/>
      <c r="AB2" s="2230"/>
      <c r="AC2" s="2231"/>
      <c r="AD2" s="2229" t="e">
        <f>INDEX(PT_DIFFERENTIATION_NTAR,MATCH(A2,PT_DIFFERENTIATION_NTAR_ID,0))</f>
        <v>#N/A</v>
      </c>
      <c r="AE2" s="2230"/>
      <c r="AF2" s="2230"/>
      <c r="AG2" s="2230"/>
      <c r="AH2" s="2230"/>
      <c r="AI2" s="2230"/>
      <c r="AJ2" s="2230"/>
      <c r="AK2" s="2230"/>
      <c r="AL2" s="2231"/>
      <c r="AM2" s="1140" t="s">
        <v>1460</v>
      </c>
      <c r="AO2" s="428"/>
      <c r="AP2" s="428" t="str">
        <f t="shared" ref="AP2:AP15" si="0">IF(T2="","",T2)</f>
        <v>Наименование тарифа</v>
      </c>
      <c r="AQ2" s="428"/>
      <c r="AR2" s="428"/>
    </row>
    <row r="3" spans="1:44" ht="21" hidden="1" customHeight="1">
      <c r="A3" s="1244"/>
      <c r="B3" s="1244"/>
      <c r="C3" s="1244"/>
      <c r="D3" s="1244"/>
      <c r="E3" s="2236"/>
      <c r="F3" s="2235">
        <v>1</v>
      </c>
      <c r="G3" s="1244"/>
      <c r="H3" s="1244"/>
      <c r="I3" s="1244"/>
      <c r="J3" s="1244"/>
      <c r="K3" s="1244"/>
      <c r="L3" s="1245"/>
      <c r="M3" s="1246"/>
      <c r="N3" s="1246"/>
      <c r="O3" s="1246"/>
      <c r="P3" s="1217"/>
      <c r="Q3" s="276"/>
      <c r="R3" s="277"/>
      <c r="S3" s="1221" t="e">
        <f>INDEX(PT_DIFFERENTIATION_NUM_TER,MATCH(B3,PT_DIFFERENTIATION_TER_ID,0))</f>
        <v>#N/A</v>
      </c>
      <c r="T3" s="228" t="s">
        <v>1461</v>
      </c>
      <c r="U3" s="218"/>
      <c r="V3" s="2229"/>
      <c r="W3" s="2230"/>
      <c r="X3" s="2230"/>
      <c r="Y3" s="2230"/>
      <c r="Z3" s="2230"/>
      <c r="AA3" s="2230"/>
      <c r="AB3" s="2230"/>
      <c r="AC3" s="2231"/>
      <c r="AD3" s="2229" t="e">
        <f>INDEX(PT_DIFFERENTIATION_TER,MATCH(B3,PT_DIFFERENTIATION_TER_ID,0))</f>
        <v>#N/A</v>
      </c>
      <c r="AE3" s="2230"/>
      <c r="AF3" s="2230"/>
      <c r="AG3" s="2230"/>
      <c r="AH3" s="2230"/>
      <c r="AI3" s="2230"/>
      <c r="AJ3" s="2230"/>
      <c r="AK3" s="2230"/>
      <c r="AL3" s="2231"/>
      <c r="AM3" s="1140" t="s">
        <v>1462</v>
      </c>
      <c r="AO3" s="428"/>
      <c r="AP3" s="428" t="str">
        <f t="shared" si="0"/>
        <v>Территория действия тарифа</v>
      </c>
      <c r="AQ3" s="428"/>
      <c r="AR3" s="428"/>
    </row>
    <row r="4" spans="1:44" ht="23.25" hidden="1" customHeight="1">
      <c r="A4" s="1244"/>
      <c r="B4" s="1244"/>
      <c r="C4" s="1244"/>
      <c r="D4" s="1244"/>
      <c r="E4" s="2236"/>
      <c r="F4" s="2236"/>
      <c r="G4" s="2235">
        <v>1</v>
      </c>
      <c r="H4" s="1244"/>
      <c r="I4" s="1244"/>
      <c r="J4" s="1244"/>
      <c r="K4" s="1244"/>
      <c r="L4" s="1245"/>
      <c r="M4" s="1246"/>
      <c r="N4" s="1246"/>
      <c r="O4" s="1246"/>
      <c r="P4" s="278"/>
      <c r="Q4" s="276"/>
      <c r="R4" s="277"/>
      <c r="S4" s="1221" t="e">
        <f>INDEX(PT_DIFFERENTIATION_NUM_CS,MATCH(C4,PT_DIFFERENTIATION_CS_ID,0))</f>
        <v>#N/A</v>
      </c>
      <c r="T4" s="229" t="s">
        <v>1463</v>
      </c>
      <c r="U4" s="218"/>
      <c r="V4" s="2229"/>
      <c r="W4" s="2230"/>
      <c r="X4" s="2230"/>
      <c r="Y4" s="2230"/>
      <c r="Z4" s="2230"/>
      <c r="AA4" s="2230"/>
      <c r="AB4" s="2230"/>
      <c r="AC4" s="2231"/>
      <c r="AD4" s="2229" t="e">
        <f>INDEX(PT_DIFFERENTIATION_CS,MATCH(C4,PT_DIFFERENTIATION_CS_ID,0))</f>
        <v>#N/A</v>
      </c>
      <c r="AE4" s="2230"/>
      <c r="AF4" s="2230"/>
      <c r="AG4" s="2230"/>
      <c r="AH4" s="2230"/>
      <c r="AI4" s="2230"/>
      <c r="AJ4" s="2230"/>
      <c r="AK4" s="2230"/>
      <c r="AL4" s="2231"/>
      <c r="AM4" s="1140" t="s">
        <v>1464</v>
      </c>
      <c r="AO4" s="428"/>
      <c r="AP4" s="428" t="str">
        <f t="shared" si="0"/>
        <v xml:space="preserve">Наименование системы теплоснабжения </v>
      </c>
      <c r="AQ4" s="428"/>
      <c r="AR4" s="428"/>
    </row>
    <row r="5" spans="1:44" ht="21" hidden="1" customHeight="1">
      <c r="A5" s="1244"/>
      <c r="B5" s="1244"/>
      <c r="C5" s="1244"/>
      <c r="D5" s="1244"/>
      <c r="E5" s="2236"/>
      <c r="F5" s="2236"/>
      <c r="G5" s="2236"/>
      <c r="H5" s="2235">
        <v>1</v>
      </c>
      <c r="I5" s="1244"/>
      <c r="J5" s="1244"/>
      <c r="K5" s="1244"/>
      <c r="L5" s="1245"/>
      <c r="M5" s="1246"/>
      <c r="N5" s="1246"/>
      <c r="O5" s="1246"/>
      <c r="P5" s="278"/>
      <c r="Q5" s="276"/>
      <c r="R5" s="277"/>
      <c r="S5" s="1221" t="e">
        <f>INDEX(PT_DIFFERENTIATION_NUM_IST_TE,MATCH(D5,PT_DIFFERENTIATION_IST_TE_ID,0))</f>
        <v>#N/A</v>
      </c>
      <c r="T5" s="230" t="s">
        <v>1465</v>
      </c>
      <c r="U5" s="218"/>
      <c r="V5" s="2229"/>
      <c r="W5" s="2230"/>
      <c r="X5" s="2230"/>
      <c r="Y5" s="2230"/>
      <c r="Z5" s="2230"/>
      <c r="AA5" s="2230"/>
      <c r="AB5" s="2230"/>
      <c r="AC5" s="2231"/>
      <c r="AD5" s="2229" t="e">
        <f>INDEX(PT_DIFFERENTIATION_IST_TE,MATCH(D5,PT_DIFFERENTIATION_IST_TE_ID,0))</f>
        <v>#N/A</v>
      </c>
      <c r="AE5" s="2230"/>
      <c r="AF5" s="2230"/>
      <c r="AG5" s="2230"/>
      <c r="AH5" s="2230"/>
      <c r="AI5" s="2230"/>
      <c r="AJ5" s="2230"/>
      <c r="AK5" s="2230"/>
      <c r="AL5" s="2231"/>
      <c r="AM5" s="1140" t="s">
        <v>1466</v>
      </c>
      <c r="AO5" s="428"/>
      <c r="AP5" s="428" t="str">
        <f t="shared" si="0"/>
        <v xml:space="preserve">Источник тепловой энергии  </v>
      </c>
      <c r="AQ5" s="428"/>
      <c r="AR5" s="428"/>
    </row>
    <row r="6" spans="1:44" ht="14.25" hidden="1" customHeight="1">
      <c r="A6" s="1244"/>
      <c r="B6" s="1244"/>
      <c r="C6" s="1244"/>
      <c r="D6" s="1244"/>
      <c r="E6" s="2236"/>
      <c r="F6" s="2236"/>
      <c r="G6" s="2236"/>
      <c r="H6" s="2236"/>
      <c r="I6" s="2237" t="e">
        <f>S5&amp;".1"</f>
        <v>#N/A</v>
      </c>
      <c r="J6" s="1244"/>
      <c r="K6" s="1244"/>
      <c r="L6" s="1245" t="s">
        <v>1467</v>
      </c>
      <c r="M6" s="464"/>
      <c r="P6" s="2157">
        <v>1</v>
      </c>
      <c r="Q6" s="1216"/>
      <c r="R6" s="280"/>
      <c r="S6" s="932"/>
      <c r="T6" s="1263"/>
      <c r="U6" s="1264"/>
      <c r="V6" s="2263"/>
      <c r="W6" s="2264"/>
      <c r="X6" s="2264"/>
      <c r="Y6" s="2264"/>
      <c r="Z6" s="2264"/>
      <c r="AA6" s="2264"/>
      <c r="AB6" s="2264"/>
      <c r="AC6" s="2265"/>
      <c r="AD6" s="2263"/>
      <c r="AE6" s="2264"/>
      <c r="AF6" s="2264"/>
      <c r="AG6" s="2264"/>
      <c r="AH6" s="2264"/>
      <c r="AI6" s="2264"/>
      <c r="AJ6" s="2264"/>
      <c r="AK6" s="2264"/>
      <c r="AL6" s="2265"/>
      <c r="AM6" s="1265"/>
      <c r="AO6" s="428"/>
      <c r="AP6" s="428" t="str">
        <f t="shared" si="0"/>
        <v/>
      </c>
      <c r="AQ6" s="428"/>
      <c r="AR6" s="428"/>
    </row>
    <row r="7" spans="1:44" ht="21" hidden="1" customHeight="1">
      <c r="A7" s="1244"/>
      <c r="B7" s="1244"/>
      <c r="C7" s="1244"/>
      <c r="D7" s="1244"/>
      <c r="E7" s="2236"/>
      <c r="F7" s="2236"/>
      <c r="G7" s="2236"/>
      <c r="H7" s="2236"/>
      <c r="I7" s="2238"/>
      <c r="J7" s="2237" t="e">
        <f>I6&amp;".1"</f>
        <v>#N/A</v>
      </c>
      <c r="K7" s="1244"/>
      <c r="L7" s="1245" t="s">
        <v>1470</v>
      </c>
      <c r="M7" s="464"/>
      <c r="N7" s="1247"/>
      <c r="P7" s="2157"/>
      <c r="Q7" s="2157">
        <v>1</v>
      </c>
      <c r="R7" s="281"/>
      <c r="S7" s="1221" t="e">
        <f>$J7</f>
        <v>#N/A</v>
      </c>
      <c r="T7" s="204" t="s">
        <v>1471</v>
      </c>
      <c r="U7" s="218"/>
      <c r="V7" s="2224"/>
      <c r="W7" s="2225"/>
      <c r="X7" s="2225"/>
      <c r="Y7" s="2225"/>
      <c r="Z7" s="2225"/>
      <c r="AA7" s="2225"/>
      <c r="AB7" s="2225"/>
      <c r="AC7" s="2226"/>
      <c r="AD7" s="2224"/>
      <c r="AE7" s="2225"/>
      <c r="AF7" s="2225"/>
      <c r="AG7" s="2225"/>
      <c r="AH7" s="2225"/>
      <c r="AI7" s="2225"/>
      <c r="AJ7" s="2225"/>
      <c r="AK7" s="2225"/>
      <c r="AL7" s="2226"/>
      <c r="AM7" s="1140" t="s">
        <v>1472</v>
      </c>
      <c r="AO7" s="428"/>
      <c r="AP7" s="428" t="str">
        <f t="shared" si="0"/>
        <v>Группа потребителей</v>
      </c>
      <c r="AQ7" s="428"/>
      <c r="AR7" s="428"/>
    </row>
    <row r="8" spans="1:44" ht="21" hidden="1" customHeight="1">
      <c r="A8" s="1244"/>
      <c r="B8" s="1244"/>
      <c r="C8" s="1244"/>
      <c r="D8" s="1244"/>
      <c r="E8" s="2236"/>
      <c r="F8" s="2236"/>
      <c r="G8" s="2236"/>
      <c r="H8" s="2236"/>
      <c r="I8" s="2238"/>
      <c r="J8" s="2238"/>
      <c r="K8" s="2237" t="e">
        <f>J7&amp;".1"</f>
        <v>#N/A</v>
      </c>
      <c r="L8" s="1245" t="s">
        <v>1473</v>
      </c>
      <c r="M8" s="464"/>
      <c r="N8" s="1247"/>
      <c r="O8" s="1247"/>
      <c r="P8" s="2157"/>
      <c r="Q8" s="2157"/>
      <c r="R8" s="281">
        <v>1</v>
      </c>
      <c r="S8" s="1221" t="e">
        <f>$K8</f>
        <v>#N/A</v>
      </c>
      <c r="T8" s="1232"/>
      <c r="U8" s="218"/>
      <c r="V8" s="1667"/>
      <c r="W8" s="1668"/>
      <c r="X8" s="1667"/>
      <c r="Y8" s="1669"/>
      <c r="Z8" s="2239"/>
      <c r="AA8" s="2031" t="s">
        <v>66</v>
      </c>
      <c r="AB8" s="2239"/>
      <c r="AC8" s="2031" t="s">
        <v>66</v>
      </c>
      <c r="AD8" s="1667"/>
      <c r="AE8" s="1668"/>
      <c r="AF8" s="1667"/>
      <c r="AG8" s="1669"/>
      <c r="AH8" s="2239"/>
      <c r="AI8" s="2031" t="s">
        <v>66</v>
      </c>
      <c r="AJ8" s="2239"/>
      <c r="AK8" s="2031" t="s">
        <v>66</v>
      </c>
      <c r="AL8" s="1668"/>
      <c r="AM8" s="2257" t="s">
        <v>1474</v>
      </c>
      <c r="AN8" s="439" t="e">
        <f ca="1">STRCHECKDATE(V9:AL9)</f>
        <v>#NAME?</v>
      </c>
      <c r="AO8" s="428"/>
      <c r="AP8" s="428" t="str">
        <f t="shared" si="0"/>
        <v/>
      </c>
      <c r="AQ8" s="428"/>
      <c r="AR8" s="428"/>
    </row>
    <row r="9" spans="1:44" ht="0.75" hidden="1" customHeight="1">
      <c r="A9" s="1244"/>
      <c r="B9" s="1244"/>
      <c r="C9" s="1244"/>
      <c r="D9" s="1244"/>
      <c r="E9" s="2236"/>
      <c r="F9" s="2236"/>
      <c r="G9" s="2236"/>
      <c r="H9" s="2236"/>
      <c r="I9" s="2238"/>
      <c r="J9" s="2238"/>
      <c r="K9" s="2237"/>
      <c r="L9" s="1245"/>
      <c r="M9" s="464"/>
      <c r="N9" s="1247"/>
      <c r="O9" s="1247"/>
      <c r="P9" s="2157"/>
      <c r="Q9" s="2157"/>
      <c r="R9" s="281"/>
      <c r="S9" s="1227"/>
      <c r="T9" s="218"/>
      <c r="U9" s="218"/>
      <c r="V9" s="1668"/>
      <c r="W9" s="1668"/>
      <c r="X9" s="1668"/>
      <c r="Y9" s="1670" t="str">
        <f>Z8&amp;"-"&amp;AB8</f>
        <v>-</v>
      </c>
      <c r="Z9" s="2240"/>
      <c r="AA9" s="2031"/>
      <c r="AB9" s="2240"/>
      <c r="AC9" s="2031"/>
      <c r="AD9" s="1668"/>
      <c r="AE9" s="1668"/>
      <c r="AF9" s="1668"/>
      <c r="AG9" s="1670" t="str">
        <f>AH8&amp;"-"&amp;AJ8</f>
        <v>-</v>
      </c>
      <c r="AH9" s="2240"/>
      <c r="AI9" s="2031"/>
      <c r="AJ9" s="2240"/>
      <c r="AK9" s="2031"/>
      <c r="AL9" s="1668"/>
      <c r="AM9" s="2258"/>
      <c r="AO9" s="428"/>
      <c r="AP9" s="428" t="str">
        <f t="shared" si="0"/>
        <v/>
      </c>
      <c r="AQ9" s="428"/>
      <c r="AR9" s="428"/>
    </row>
    <row r="10" spans="1:44" ht="15" hidden="1" customHeight="1">
      <c r="A10" s="1244"/>
      <c r="B10" s="1244"/>
      <c r="C10" s="1244"/>
      <c r="D10" s="1244"/>
      <c r="E10" s="2236"/>
      <c r="F10" s="2236"/>
      <c r="G10" s="2236"/>
      <c r="H10" s="2236"/>
      <c r="I10" s="2238"/>
      <c r="J10" s="2237"/>
      <c r="K10" s="1244"/>
      <c r="L10" s="1245"/>
      <c r="M10" s="464"/>
      <c r="N10" s="1247"/>
      <c r="P10" s="2157"/>
      <c r="Q10" s="2157"/>
      <c r="R10" s="280"/>
      <c r="S10" s="1161"/>
      <c r="T10" s="205" t="s">
        <v>1475</v>
      </c>
      <c r="U10" s="294"/>
      <c r="V10" s="294"/>
      <c r="W10" s="294"/>
      <c r="X10" s="294"/>
      <c r="Y10" s="294"/>
      <c r="Z10" s="294"/>
      <c r="AA10" s="294"/>
      <c r="AB10" s="294"/>
      <c r="AC10" s="294"/>
      <c r="AD10" s="294"/>
      <c r="AE10" s="294"/>
      <c r="AF10" s="294"/>
      <c r="AG10" s="294"/>
      <c r="AH10" s="294"/>
      <c r="AI10" s="294"/>
      <c r="AJ10" s="294"/>
      <c r="AK10" s="294"/>
      <c r="AL10" s="251"/>
      <c r="AM10" s="2259"/>
      <c r="AO10" s="428"/>
      <c r="AP10" s="428" t="str">
        <f t="shared" si="0"/>
        <v>Добавить вид теплоносителя (параметры теплоносителя)</v>
      </c>
      <c r="AQ10" s="428"/>
      <c r="AR10" s="428"/>
    </row>
    <row r="11" spans="1:44" ht="15" hidden="1" customHeight="1">
      <c r="A11" s="1244"/>
      <c r="B11" s="1244"/>
      <c r="C11" s="1244"/>
      <c r="D11" s="1244"/>
      <c r="E11" s="2236"/>
      <c r="F11" s="2236"/>
      <c r="G11" s="2236"/>
      <c r="H11" s="2236"/>
      <c r="I11" s="2237"/>
      <c r="J11" s="1244"/>
      <c r="K11" s="1244"/>
      <c r="L11" s="1245"/>
      <c r="M11" s="464"/>
      <c r="P11" s="2157"/>
      <c r="Q11" s="1216"/>
      <c r="R11" s="280"/>
      <c r="S11" s="1161"/>
      <c r="T11" s="291" t="s">
        <v>1476</v>
      </c>
      <c r="U11" s="294"/>
      <c r="V11" s="294"/>
      <c r="W11" s="294"/>
      <c r="X11" s="294"/>
      <c r="Y11" s="294"/>
      <c r="Z11" s="294"/>
      <c r="AA11" s="294"/>
      <c r="AB11" s="294"/>
      <c r="AC11" s="293"/>
      <c r="AD11" s="294"/>
      <c r="AE11" s="294"/>
      <c r="AF11" s="294"/>
      <c r="AG11" s="294"/>
      <c r="AH11" s="294"/>
      <c r="AI11" s="294"/>
      <c r="AJ11" s="294"/>
      <c r="AK11" s="293"/>
      <c r="AL11" s="294"/>
      <c r="AM11" s="221"/>
      <c r="AO11" s="428"/>
      <c r="AP11" s="428" t="str">
        <f t="shared" si="0"/>
        <v>Добавить группу потребителей</v>
      </c>
      <c r="AQ11" s="428"/>
      <c r="AR11" s="428"/>
    </row>
    <row r="12" spans="1:44" ht="14.25" hidden="1" customHeight="1">
      <c r="A12" s="1244"/>
      <c r="B12" s="1244"/>
      <c r="C12" s="1244"/>
      <c r="D12" s="1244"/>
      <c r="E12" s="2236"/>
      <c r="F12" s="2236"/>
      <c r="G12" s="2236"/>
      <c r="H12" s="2235"/>
      <c r="I12" s="1244"/>
      <c r="J12" s="1244"/>
      <c r="K12" s="1244"/>
      <c r="L12" s="1245"/>
      <c r="M12" s="1246"/>
      <c r="N12" s="1246"/>
      <c r="O12" s="464"/>
      <c r="P12" s="284"/>
      <c r="Q12" s="303"/>
      <c r="R12" s="279"/>
      <c r="S12" s="1266"/>
      <c r="T12" s="1267"/>
      <c r="U12" s="1268"/>
      <c r="V12" s="1268"/>
      <c r="W12" s="1268"/>
      <c r="X12" s="1268"/>
      <c r="Y12" s="1268"/>
      <c r="Z12" s="1268"/>
      <c r="AA12" s="1268"/>
      <c r="AB12" s="1268"/>
      <c r="AC12" s="1268"/>
      <c r="AD12" s="1268"/>
      <c r="AE12" s="1268"/>
      <c r="AF12" s="1268"/>
      <c r="AG12" s="1268"/>
      <c r="AH12" s="1268"/>
      <c r="AI12" s="1268"/>
      <c r="AJ12" s="1268"/>
      <c r="AK12" s="1268"/>
      <c r="AL12" s="1268"/>
      <c r="AM12" s="1269"/>
      <c r="AO12" s="428"/>
      <c r="AP12" s="428" t="str">
        <f t="shared" si="0"/>
        <v/>
      </c>
      <c r="AQ12" s="428"/>
      <c r="AR12" s="428"/>
    </row>
    <row r="13" spans="1:44" s="1772" customFormat="1" ht="0.75" hidden="1" customHeight="1">
      <c r="A13" s="1200"/>
      <c r="B13" s="1200"/>
      <c r="C13" s="1200"/>
      <c r="D13" s="1200"/>
      <c r="E13" s="2236"/>
      <c r="F13" s="2236"/>
      <c r="G13" s="2235"/>
      <c r="H13" s="1200"/>
      <c r="I13" s="1200"/>
      <c r="J13" s="1200"/>
      <c r="K13" s="1200"/>
      <c r="L13" s="1224"/>
      <c r="M13" s="1201"/>
      <c r="N13" s="1201"/>
      <c r="P13" s="1202"/>
      <c r="Q13" s="1203"/>
      <c r="R13" s="1202"/>
      <c r="S13" s="1204"/>
      <c r="T13" s="1205" t="s">
        <v>1436</v>
      </c>
      <c r="U13" s="1206"/>
      <c r="V13" s="1206"/>
      <c r="W13" s="1206"/>
      <c r="X13" s="1206"/>
      <c r="Y13" s="1206"/>
      <c r="Z13" s="1206"/>
      <c r="AA13" s="1206"/>
      <c r="AB13" s="1206"/>
      <c r="AC13" s="1206"/>
      <c r="AD13" s="1206"/>
      <c r="AE13" s="1206"/>
      <c r="AF13" s="1206"/>
      <c r="AG13" s="1206"/>
      <c r="AH13" s="1206"/>
      <c r="AI13" s="1206"/>
      <c r="AJ13" s="1206"/>
      <c r="AK13" s="1206"/>
      <c r="AL13" s="1206"/>
      <c r="AM13" s="1206"/>
      <c r="AO13" s="696"/>
      <c r="AP13" s="696" t="str">
        <f t="shared" si="0"/>
        <v>Добавить источник для дифференциации</v>
      </c>
      <c r="AQ13" s="696"/>
      <c r="AR13" s="696"/>
    </row>
    <row r="14" spans="1:44" s="1772" customFormat="1" ht="0.75" hidden="1" customHeight="1">
      <c r="A14" s="1200"/>
      <c r="B14" s="1200"/>
      <c r="C14" s="1200"/>
      <c r="D14" s="1200"/>
      <c r="E14" s="2236"/>
      <c r="F14" s="2235"/>
      <c r="G14" s="1200"/>
      <c r="H14" s="1200"/>
      <c r="I14" s="1200"/>
      <c r="J14" s="1200"/>
      <c r="K14" s="1200"/>
      <c r="L14" s="1224"/>
      <c r="M14" s="1207"/>
      <c r="N14" s="1207"/>
      <c r="P14" s="1202"/>
      <c r="Q14" s="1203"/>
      <c r="R14" s="1202"/>
      <c r="S14" s="1208"/>
      <c r="T14" s="1209" t="s">
        <v>1437</v>
      </c>
      <c r="U14" s="1210"/>
      <c r="V14" s="1210"/>
      <c r="W14" s="1210"/>
      <c r="X14" s="1210"/>
      <c r="Y14" s="1210"/>
      <c r="Z14" s="1210"/>
      <c r="AA14" s="1210"/>
      <c r="AB14" s="1210"/>
      <c r="AC14" s="1210"/>
      <c r="AD14" s="1210"/>
      <c r="AE14" s="1210"/>
      <c r="AF14" s="1210"/>
      <c r="AG14" s="1210"/>
      <c r="AH14" s="1210"/>
      <c r="AI14" s="1210"/>
      <c r="AJ14" s="1210"/>
      <c r="AK14" s="1210"/>
      <c r="AL14" s="1210"/>
      <c r="AM14" s="1210"/>
      <c r="AO14" s="696"/>
      <c r="AP14" s="696" t="str">
        <f t="shared" si="0"/>
        <v>Добавить централизованную систему для дифференциации</v>
      </c>
      <c r="AQ14" s="696"/>
      <c r="AR14" s="696"/>
    </row>
    <row r="15" spans="1:44" s="1772" customFormat="1" ht="0.75" hidden="1" customHeight="1">
      <c r="A15" s="1200"/>
      <c r="B15" s="1200"/>
      <c r="C15" s="1200"/>
      <c r="D15" s="1200"/>
      <c r="E15" s="2235"/>
      <c r="F15" s="1200"/>
      <c r="G15" s="1200"/>
      <c r="H15" s="1200"/>
      <c r="I15" s="1200"/>
      <c r="J15" s="1200"/>
      <c r="K15" s="1200"/>
      <c r="L15" s="1224"/>
      <c r="M15" s="1207"/>
      <c r="N15" s="1207"/>
      <c r="P15" s="1202"/>
      <c r="Q15" s="1203"/>
      <c r="R15" s="1202"/>
      <c r="S15" s="1208"/>
      <c r="T15" s="1211" t="s">
        <v>1438</v>
      </c>
      <c r="U15" s="1210"/>
      <c r="V15" s="1210"/>
      <c r="W15" s="1210"/>
      <c r="X15" s="1210"/>
      <c r="Y15" s="1210"/>
      <c r="Z15" s="1210"/>
      <c r="AA15" s="1210"/>
      <c r="AB15" s="1210"/>
      <c r="AC15" s="1210"/>
      <c r="AD15" s="1210"/>
      <c r="AE15" s="1210"/>
      <c r="AF15" s="1210"/>
      <c r="AG15" s="1210"/>
      <c r="AH15" s="1210"/>
      <c r="AI15" s="1210"/>
      <c r="AJ15" s="1210"/>
      <c r="AK15" s="1210"/>
      <c r="AL15" s="1210"/>
      <c r="AM15" s="1210"/>
      <c r="AO15" s="696"/>
      <c r="AP15" s="696" t="str">
        <f t="shared" si="0"/>
        <v>Добавить территорию для дифференциации</v>
      </c>
      <c r="AQ15" s="696"/>
      <c r="AR15" s="696"/>
    </row>
    <row r="16" spans="1:44" ht="14.25" hidden="1" customHeight="1">
      <c r="AC16" s="254"/>
      <c r="AK16" s="254"/>
    </row>
    <row r="17" spans="1:44" ht="14.25" hidden="1" customHeight="1">
      <c r="AD17" s="1671"/>
      <c r="AE17" s="1671"/>
      <c r="AF17" s="1671"/>
      <c r="AG17" s="1672"/>
      <c r="AH17" s="2233"/>
      <c r="AI17" s="2232" t="s">
        <v>66</v>
      </c>
      <c r="AJ17" s="2233"/>
      <c r="AK17" s="2232" t="s">
        <v>66</v>
      </c>
    </row>
    <row r="18" spans="1:44" ht="14.25" hidden="1" customHeight="1">
      <c r="AD18" s="1671"/>
      <c r="AE18" s="1671"/>
      <c r="AF18" s="1671"/>
      <c r="AG18" s="1670" t="str">
        <f>AH17&amp;"-"&amp;AJ17</f>
        <v>-</v>
      </c>
      <c r="AH18" s="2232"/>
      <c r="AI18" s="2232"/>
      <c r="AJ18" s="2232"/>
      <c r="AK18" s="2232"/>
    </row>
    <row r="19" spans="1:44" ht="14.25" hidden="1" customHeight="1">
      <c r="AK19" s="254"/>
    </row>
    <row r="20" spans="1:44" s="1759" customFormat="1" ht="22.5" hidden="1" customHeight="1">
      <c r="L20" s="1214"/>
      <c r="M20" s="1243"/>
      <c r="N20" s="1243"/>
      <c r="O20" s="1248" t="s">
        <v>1478</v>
      </c>
      <c r="P20" s="1243"/>
      <c r="Q20" s="1252"/>
      <c r="R20" s="1252"/>
      <c r="S20" s="644"/>
      <c r="Z20" s="1248"/>
      <c r="AB20" s="1248"/>
      <c r="AC20" s="1247"/>
      <c r="AH20" s="1248"/>
      <c r="AJ20" s="1248"/>
      <c r="AK20" s="1247"/>
      <c r="AN20" s="439"/>
      <c r="AO20" s="439"/>
      <c r="AP20" s="439"/>
      <c r="AQ20" s="439"/>
      <c r="AR20" s="439"/>
    </row>
    <row r="21" spans="1:44" s="1759" customFormat="1" ht="14.25" hidden="1" customHeight="1">
      <c r="L21" s="1214"/>
      <c r="M21" s="1243"/>
      <c r="N21" s="1243"/>
      <c r="O21" s="1243"/>
      <c r="P21" s="1243"/>
      <c r="Q21" s="1252"/>
      <c r="R21" s="1252"/>
      <c r="S21" s="644"/>
      <c r="AC21" s="1247"/>
      <c r="AK21" s="1247"/>
      <c r="AN21" s="439"/>
      <c r="AO21" s="439"/>
      <c r="AP21" s="439"/>
      <c r="AQ21" s="439"/>
      <c r="AR21" s="439"/>
    </row>
    <row r="22" spans="1:44" s="1759" customFormat="1" ht="14.25" hidden="1" customHeight="1">
      <c r="L22" s="1214"/>
      <c r="M22" s="1243"/>
      <c r="N22" s="1243"/>
      <c r="O22" s="1245" t="s">
        <v>1479</v>
      </c>
      <c r="P22" s="1243"/>
      <c r="Q22" s="1252"/>
      <c r="R22" s="1252"/>
      <c r="S22" s="644"/>
      <c r="T22" s="1036" t="s">
        <v>1480</v>
      </c>
      <c r="AA22" s="111" t="s">
        <v>1481</v>
      </c>
      <c r="AC22" s="111" t="s">
        <v>1482</v>
      </c>
      <c r="AD22" s="1036" t="s">
        <v>1480</v>
      </c>
      <c r="AI22" s="111" t="s">
        <v>1483</v>
      </c>
      <c r="AK22" s="111" t="s">
        <v>1482</v>
      </c>
      <c r="AN22" s="439"/>
      <c r="AO22" s="439"/>
      <c r="AP22" s="439"/>
      <c r="AQ22" s="439"/>
      <c r="AR22" s="439"/>
    </row>
    <row r="23" spans="1:44" ht="14.25" hidden="1" customHeight="1">
      <c r="O23" s="1245"/>
    </row>
    <row r="24" spans="1:44" ht="14.25" hidden="1" customHeight="1">
      <c r="O24" s="1245"/>
    </row>
    <row r="25" spans="1:44" ht="14.25" customHeight="1">
      <c r="Q25" s="304"/>
      <c r="R25" s="304"/>
      <c r="S25" s="1158"/>
      <c r="T25" s="289"/>
      <c r="U25" s="289"/>
      <c r="V25" s="437"/>
      <c r="W25" s="437"/>
      <c r="X25" s="437"/>
      <c r="Y25" s="437"/>
      <c r="Z25" s="437"/>
      <c r="AA25" s="437"/>
      <c r="AB25" s="437"/>
      <c r="AC25" s="437"/>
      <c r="AD25" s="437"/>
      <c r="AE25" s="437"/>
      <c r="AF25" s="437"/>
      <c r="AG25" s="437"/>
      <c r="AH25" s="437"/>
      <c r="AI25" s="437"/>
      <c r="AJ25" s="437"/>
      <c r="AK25" s="437"/>
    </row>
    <row r="26" spans="1:44" ht="64.5" customHeight="1">
      <c r="Q26" s="304"/>
      <c r="R26" s="304"/>
      <c r="S26" s="2079" t="str">
        <f>IF(TEMPLATE_GROUP="P",PT_P_FORM_HEAT_5_NAME_FORM,PT_R_FORM_HEAT_22_NAME_FORM)</f>
        <v>Форма 22. Информация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"О теплоснабжении" &lt;1&gt;</v>
      </c>
      <c r="T26" s="2079"/>
      <c r="U26" s="2079"/>
      <c r="V26" s="2079"/>
      <c r="W26" s="2079"/>
      <c r="X26" s="2079"/>
      <c r="Y26" s="2079"/>
      <c r="Z26" s="2079"/>
      <c r="AA26" s="2079"/>
      <c r="AB26" s="2079"/>
      <c r="AC26" s="2079"/>
      <c r="AD26" s="2079"/>
      <c r="AE26" s="2079"/>
      <c r="AF26" s="2079"/>
      <c r="AG26" s="2079"/>
      <c r="AH26" s="2079"/>
      <c r="AI26" s="2079"/>
      <c r="AJ26" s="2079"/>
      <c r="AK26" s="1116"/>
    </row>
    <row r="27" spans="1:44" ht="14.25" customHeight="1">
      <c r="Q27" s="304"/>
      <c r="R27" s="304"/>
      <c r="S27" s="2102" t="str">
        <f>IF(org=0,"Не определено",org)</f>
        <v>ООО "Автозаводская ТЭЦ"</v>
      </c>
      <c r="T27" s="2102"/>
      <c r="U27" s="2102"/>
      <c r="V27" s="2102"/>
      <c r="W27" s="2102"/>
      <c r="X27" s="2102"/>
      <c r="Y27" s="2102"/>
      <c r="Z27" s="2102"/>
      <c r="AA27" s="2102"/>
      <c r="AB27" s="2102"/>
      <c r="AC27" s="2102"/>
      <c r="AD27" s="2102"/>
      <c r="AE27" s="2102"/>
      <c r="AF27" s="2102"/>
      <c r="AG27" s="2102"/>
      <c r="AH27" s="2102"/>
      <c r="AI27" s="2102"/>
      <c r="AJ27" s="2102"/>
      <c r="AK27" s="1116"/>
    </row>
    <row r="28" spans="1:44" ht="14.25" hidden="1" customHeight="1">
      <c r="Q28" s="304"/>
      <c r="R28" s="304"/>
      <c r="S28" s="1158"/>
      <c r="T28" s="289"/>
      <c r="U28" s="289"/>
      <c r="V28" s="248"/>
      <c r="W28" s="248"/>
      <c r="X28" s="248"/>
      <c r="Y28" s="248"/>
      <c r="Z28" s="248"/>
      <c r="AA28" s="248"/>
      <c r="AB28" s="248"/>
      <c r="AC28" s="248"/>
      <c r="AD28" s="248"/>
      <c r="AE28" s="248"/>
      <c r="AF28" s="248"/>
      <c r="AG28" s="248"/>
      <c r="AH28" s="248"/>
      <c r="AI28" s="248"/>
      <c r="AJ28" s="248"/>
      <c r="AK28" s="248"/>
      <c r="AL28" s="437"/>
    </row>
    <row r="29" spans="1:44" s="1950" customFormat="1" ht="25.5" hidden="1" customHeight="1">
      <c r="A29" s="1249"/>
      <c r="B29" s="1249"/>
      <c r="C29" s="1249"/>
      <c r="D29" s="1249"/>
      <c r="E29" s="1249"/>
      <c r="F29" s="1249"/>
      <c r="G29" s="1249"/>
      <c r="H29" s="1249"/>
      <c r="I29" s="1249"/>
      <c r="J29" s="1249"/>
      <c r="K29" s="1249"/>
      <c r="L29" s="1250"/>
      <c r="M29" s="1249"/>
      <c r="N29" s="1249"/>
      <c r="O29" s="1249"/>
      <c r="S29" s="2227" t="s">
        <v>38</v>
      </c>
      <c r="T29" s="2227"/>
      <c r="U29" s="1253"/>
      <c r="V29" s="2228" t="str">
        <f>IF(TITLE_NAME_OR_PR_CHANGE="",IF(TITLE_NAME_OR_PR="","",TITLE_NAME_OR_PR),TITLE_NAME_OR_PR_CHANGE)</f>
        <v/>
      </c>
      <c r="W29" s="2228"/>
      <c r="X29" s="2228"/>
      <c r="Y29" s="2228"/>
      <c r="Z29" s="2228"/>
      <c r="AA29" s="2228"/>
      <c r="AB29" s="2228"/>
      <c r="AC29" s="253"/>
      <c r="AD29" s="2228" t="str">
        <f>IF(TITLE_NAME_OR_PR_CHANGE="",IF(TITLE_NAME_OR_PR="","",TITLE_NAME_OR_PR),TITLE_NAME_OR_PR_CHANGE)</f>
        <v/>
      </c>
      <c r="AE29" s="2228"/>
      <c r="AF29" s="2228"/>
      <c r="AG29" s="2228"/>
      <c r="AH29" s="2228"/>
      <c r="AI29" s="2228"/>
      <c r="AJ29" s="2228"/>
      <c r="AK29" s="253"/>
      <c r="AL29" s="253"/>
      <c r="AM29" s="199"/>
      <c r="AN29" s="295"/>
      <c r="AO29" s="295"/>
      <c r="AP29" s="295"/>
      <c r="AQ29" s="295"/>
      <c r="AR29" s="295"/>
    </row>
    <row r="30" spans="1:44" s="1950" customFormat="1" ht="18.75" hidden="1" customHeight="1">
      <c r="A30" s="1249"/>
      <c r="B30" s="1249"/>
      <c r="C30" s="1249"/>
      <c r="D30" s="1249"/>
      <c r="E30" s="1249"/>
      <c r="F30" s="1249"/>
      <c r="G30" s="1249"/>
      <c r="H30" s="1249"/>
      <c r="I30" s="1249"/>
      <c r="J30" s="1249"/>
      <c r="K30" s="1249"/>
      <c r="L30" s="1250"/>
      <c r="M30" s="1249"/>
      <c r="N30" s="1249"/>
      <c r="O30" s="1249"/>
      <c r="S30" s="2227" t="s">
        <v>1484</v>
      </c>
      <c r="T30" s="2227"/>
      <c r="U30" s="1253"/>
      <c r="V30" s="2228" t="str">
        <f>IF(TITLE_DATE_CHANGE_PERIOD="",IF(TITLE_DATE_PR="","",TITLE_DATE_PR),TITLE_DATE_CHANGE_PERIOD)</f>
        <v/>
      </c>
      <c r="W30" s="2228"/>
      <c r="X30" s="2228"/>
      <c r="Y30" s="2228"/>
      <c r="Z30" s="2228"/>
      <c r="AA30" s="2228"/>
      <c r="AB30" s="2228"/>
      <c r="AC30" s="253"/>
      <c r="AD30" s="2228" t="str">
        <f>IF(TITLE_DATE_CHANGE_PERIOD="",IF(TITLE_DATE_PR="","",TITLE_DATE_PR),TITLE_DATE_CHANGE_PERIOD)</f>
        <v/>
      </c>
      <c r="AE30" s="2228"/>
      <c r="AF30" s="2228"/>
      <c r="AG30" s="2228"/>
      <c r="AH30" s="2228"/>
      <c r="AI30" s="2228"/>
      <c r="AJ30" s="2228"/>
      <c r="AK30" s="253"/>
      <c r="AL30" s="253"/>
      <c r="AM30" s="199"/>
      <c r="AN30" s="295"/>
      <c r="AO30" s="295"/>
      <c r="AP30" s="295"/>
      <c r="AQ30" s="295"/>
      <c r="AR30" s="295"/>
    </row>
    <row r="31" spans="1:44" s="1950" customFormat="1" ht="18.75" hidden="1" customHeight="1">
      <c r="A31" s="1249"/>
      <c r="B31" s="1249"/>
      <c r="C31" s="1249"/>
      <c r="D31" s="1249"/>
      <c r="E31" s="1249"/>
      <c r="F31" s="1249"/>
      <c r="G31" s="1249"/>
      <c r="H31" s="1249"/>
      <c r="I31" s="1249"/>
      <c r="J31" s="1249"/>
      <c r="K31" s="1249"/>
      <c r="L31" s="1250"/>
      <c r="M31" s="1249"/>
      <c r="N31" s="1249"/>
      <c r="O31" s="1249"/>
      <c r="S31" s="2227" t="s">
        <v>1485</v>
      </c>
      <c r="T31" s="2227"/>
      <c r="U31" s="1253"/>
      <c r="V31" s="2228" t="str">
        <f>IF(TITLE_NUMBER_PR_CHANGE="",IF(TITLE_NUMBER_PR="","",TITLE_NUMBER_PR),TITLE_NUMBER_PR_CHANGE)</f>
        <v/>
      </c>
      <c r="W31" s="2228"/>
      <c r="X31" s="2228"/>
      <c r="Y31" s="2228"/>
      <c r="Z31" s="2228"/>
      <c r="AA31" s="2228"/>
      <c r="AB31" s="2228"/>
      <c r="AC31" s="253"/>
      <c r="AD31" s="2228" t="str">
        <f>IF(TITLE_NUMBER_PR_CHANGE="",IF(TITLE_NUMBER_PR="","",TITLE_NUMBER_PR),TITLE_NUMBER_PR_CHANGE)</f>
        <v/>
      </c>
      <c r="AE31" s="2228"/>
      <c r="AF31" s="2228"/>
      <c r="AG31" s="2228"/>
      <c r="AH31" s="2228"/>
      <c r="AI31" s="2228"/>
      <c r="AJ31" s="2228"/>
      <c r="AK31" s="253"/>
      <c r="AL31" s="253"/>
      <c r="AM31" s="199"/>
      <c r="AN31" s="295"/>
      <c r="AO31" s="295"/>
      <c r="AP31" s="295"/>
      <c r="AQ31" s="295"/>
      <c r="AR31" s="295"/>
    </row>
    <row r="32" spans="1:44" s="1950" customFormat="1" ht="18.75" hidden="1" customHeight="1">
      <c r="A32" s="1249"/>
      <c r="B32" s="1249"/>
      <c r="C32" s="1249"/>
      <c r="D32" s="1249"/>
      <c r="E32" s="1249"/>
      <c r="F32" s="1249"/>
      <c r="G32" s="1249"/>
      <c r="H32" s="1249"/>
      <c r="I32" s="1249"/>
      <c r="J32" s="1249"/>
      <c r="K32" s="1249"/>
      <c r="L32" s="1250"/>
      <c r="M32" s="1249"/>
      <c r="N32" s="1249"/>
      <c r="O32" s="1249"/>
      <c r="S32" s="2227" t="s">
        <v>39</v>
      </c>
      <c r="T32" s="2227"/>
      <c r="U32" s="1253"/>
      <c r="V32" s="2228" t="str">
        <f>IF(TITLE_IST_PUB_CHANGE="",IF(TITLE_IST_PUB="","",TITLE_IST_PUB),TITLE_IST_PUB_CHANGE)</f>
        <v/>
      </c>
      <c r="W32" s="2228"/>
      <c r="X32" s="2228"/>
      <c r="Y32" s="2228"/>
      <c r="Z32" s="2228"/>
      <c r="AA32" s="2228"/>
      <c r="AB32" s="2228"/>
      <c r="AC32" s="253"/>
      <c r="AD32" s="2228" t="str">
        <f>IF(TITLE_IST_PUB_CHANGE="",IF(TITLE_IST_PUB="","",TITLE_IST_PUB),TITLE_IST_PUB_CHANGE)</f>
        <v/>
      </c>
      <c r="AE32" s="2228"/>
      <c r="AF32" s="2228"/>
      <c r="AG32" s="2228"/>
      <c r="AH32" s="2228"/>
      <c r="AI32" s="2228"/>
      <c r="AJ32" s="2228"/>
      <c r="AK32" s="253"/>
      <c r="AL32" s="253"/>
      <c r="AM32" s="199"/>
      <c r="AN32" s="295"/>
      <c r="AO32" s="295"/>
      <c r="AP32" s="295"/>
      <c r="AQ32" s="295"/>
      <c r="AR32" s="295"/>
    </row>
    <row r="33" spans="1:44" ht="14.25" hidden="1" customHeight="1">
      <c r="Q33" s="304"/>
      <c r="R33" s="304"/>
      <c r="S33" s="1158"/>
      <c r="T33" s="289"/>
      <c r="U33" s="289"/>
      <c r="V33" s="248"/>
      <c r="W33" s="248"/>
      <c r="X33" s="248"/>
      <c r="Y33" s="248"/>
      <c r="Z33" s="248"/>
      <c r="AA33" s="248"/>
      <c r="AB33" s="248"/>
      <c r="AC33" s="248"/>
      <c r="AD33" s="248"/>
      <c r="AE33" s="248"/>
      <c r="AF33" s="248"/>
      <c r="AG33" s="248"/>
      <c r="AH33" s="248"/>
      <c r="AI33" s="248"/>
      <c r="AJ33" s="248"/>
      <c r="AK33" s="248"/>
      <c r="AL33" s="437"/>
    </row>
    <row r="34" spans="1:44" s="1950" customFormat="1" ht="18.75" hidden="1" customHeight="1">
      <c r="A34" s="1249"/>
      <c r="B34" s="1249"/>
      <c r="C34" s="1249"/>
      <c r="D34" s="1249"/>
      <c r="E34" s="1249"/>
      <c r="F34" s="1249"/>
      <c r="G34" s="1249"/>
      <c r="H34" s="1249"/>
      <c r="I34" s="1249"/>
      <c r="J34" s="1249"/>
      <c r="K34" s="1249"/>
      <c r="L34" s="1250"/>
      <c r="M34" s="1249"/>
      <c r="N34" s="1249"/>
      <c r="O34" s="1249"/>
      <c r="S34" s="2227" t="s">
        <v>1486</v>
      </c>
      <c r="T34" s="2227"/>
      <c r="U34" s="1253"/>
      <c r="V34" s="2228" t="str">
        <f>IF(TITLE_DATE_CHANGE_PERIOD="",IF(TITLE_DATE_PR="","",TITLE_DATE_PR),TITLE_DATE_CHANGE_PERIOD)</f>
        <v/>
      </c>
      <c r="W34" s="2228"/>
      <c r="X34" s="2228"/>
      <c r="Y34" s="2228"/>
      <c r="Z34" s="2228"/>
      <c r="AA34" s="2228"/>
      <c r="AB34" s="2228"/>
      <c r="AC34" s="253"/>
      <c r="AD34" s="2228" t="str">
        <f>IF(TITLE_DATE_CHANGE_PERIOD="",IF(TITLE_DATE_PR="","",TITLE_DATE_PR),TITLE_DATE_CHANGE_PERIOD)</f>
        <v/>
      </c>
      <c r="AE34" s="2228"/>
      <c r="AF34" s="2228"/>
      <c r="AG34" s="2228"/>
      <c r="AH34" s="2228"/>
      <c r="AI34" s="2228"/>
      <c r="AJ34" s="2228"/>
      <c r="AK34" s="253"/>
      <c r="AL34" s="253"/>
      <c r="AM34" s="199"/>
      <c r="AN34" s="295"/>
      <c r="AO34" s="295"/>
      <c r="AP34" s="295"/>
      <c r="AQ34" s="295"/>
      <c r="AR34" s="295"/>
    </row>
    <row r="35" spans="1:44" s="1950" customFormat="1" ht="18.75" hidden="1" customHeight="1">
      <c r="A35" s="1249"/>
      <c r="B35" s="1249"/>
      <c r="C35" s="1249"/>
      <c r="D35" s="1249"/>
      <c r="E35" s="1249"/>
      <c r="F35" s="1249"/>
      <c r="G35" s="1249"/>
      <c r="H35" s="1249"/>
      <c r="I35" s="1249"/>
      <c r="J35" s="1249"/>
      <c r="K35" s="1249"/>
      <c r="L35" s="1250"/>
      <c r="M35" s="1249"/>
      <c r="N35" s="1249"/>
      <c r="O35" s="1249"/>
      <c r="S35" s="2227" t="s">
        <v>1487</v>
      </c>
      <c r="T35" s="2227"/>
      <c r="U35" s="1253"/>
      <c r="V35" s="2228" t="str">
        <f>IF(TITLE_NUMBER_PR_CHANGE="",IF(TITLE_NUMBER_PR="","",TITLE_NUMBER_PR),TITLE_NUMBER_PR_CHANGE)</f>
        <v/>
      </c>
      <c r="W35" s="2228"/>
      <c r="X35" s="2228"/>
      <c r="Y35" s="2228"/>
      <c r="Z35" s="2228"/>
      <c r="AA35" s="2228"/>
      <c r="AB35" s="2228"/>
      <c r="AC35" s="253"/>
      <c r="AD35" s="2228" t="str">
        <f>IF(TITLE_NUMBER_PR_CHANGE="",IF(TITLE_NUMBER_PR="","",TITLE_NUMBER_PR),TITLE_NUMBER_PR_CHANGE)</f>
        <v/>
      </c>
      <c r="AE35" s="2228"/>
      <c r="AF35" s="2228"/>
      <c r="AG35" s="2228"/>
      <c r="AH35" s="2228"/>
      <c r="AI35" s="2228"/>
      <c r="AJ35" s="2228"/>
      <c r="AK35" s="253"/>
      <c r="AL35" s="253"/>
      <c r="AM35" s="199"/>
      <c r="AN35" s="295"/>
      <c r="AO35" s="295"/>
      <c r="AP35" s="295"/>
      <c r="AQ35" s="295"/>
      <c r="AR35" s="295"/>
    </row>
    <row r="36" spans="1:44" s="1950" customFormat="1" ht="0" hidden="1" customHeight="1">
      <c r="A36" s="1249"/>
      <c r="B36" s="1249"/>
      <c r="C36" s="1249"/>
      <c r="D36" s="1249"/>
      <c r="E36" s="1249"/>
      <c r="F36" s="1249"/>
      <c r="G36" s="1249"/>
      <c r="H36" s="1249"/>
      <c r="I36" s="1249"/>
      <c r="J36" s="1249"/>
      <c r="K36" s="1249"/>
      <c r="L36" s="1250"/>
      <c r="M36" s="1249"/>
      <c r="N36" s="1249"/>
      <c r="O36" s="1249"/>
      <c r="S36" s="250"/>
      <c r="T36" s="250"/>
      <c r="U36" s="1225"/>
      <c r="V36" s="253"/>
      <c r="W36" s="253"/>
      <c r="X36" s="253"/>
      <c r="Y36" s="253"/>
      <c r="Z36" s="253"/>
      <c r="AA36" s="253"/>
      <c r="AB36" s="253"/>
      <c r="AC36" s="197" t="s">
        <v>1488</v>
      </c>
      <c r="AD36" s="253"/>
      <c r="AE36" s="253"/>
      <c r="AF36" s="253"/>
      <c r="AG36" s="253"/>
      <c r="AH36" s="253"/>
      <c r="AI36" s="253"/>
      <c r="AJ36" s="253"/>
      <c r="AK36" s="197" t="s">
        <v>1488</v>
      </c>
      <c r="AN36" s="295"/>
      <c r="AO36" s="295"/>
      <c r="AP36" s="295"/>
      <c r="AQ36" s="295"/>
      <c r="AR36" s="295"/>
    </row>
    <row r="37" spans="1:44" ht="14.25" customHeight="1">
      <c r="Q37" s="304"/>
      <c r="R37" s="304"/>
      <c r="S37" s="1158"/>
      <c r="T37" s="289"/>
      <c r="U37" s="1117"/>
      <c r="V37" s="2246"/>
      <c r="W37" s="2246"/>
      <c r="X37" s="2246"/>
      <c r="Y37" s="2246"/>
      <c r="Z37" s="2246"/>
      <c r="AA37" s="2246"/>
      <c r="AB37" s="2246"/>
      <c r="AC37" s="2246"/>
      <c r="AD37" s="2246"/>
      <c r="AE37" s="2246"/>
      <c r="AF37" s="2246"/>
      <c r="AG37" s="2246"/>
      <c r="AH37" s="2246"/>
      <c r="AI37" s="2246"/>
      <c r="AJ37" s="2246"/>
      <c r="AK37" s="2246"/>
    </row>
    <row r="38" spans="1:44" ht="14.25" customHeight="1">
      <c r="Q38" s="304"/>
      <c r="R38" s="304"/>
      <c r="S38" s="2021" t="s">
        <v>292</v>
      </c>
      <c r="T38" s="2021"/>
      <c r="U38" s="2021"/>
      <c r="V38" s="2021"/>
      <c r="W38" s="2021"/>
      <c r="X38" s="2021"/>
      <c r="Y38" s="2021"/>
      <c r="Z38" s="2021"/>
      <c r="AA38" s="2021"/>
      <c r="AB38" s="2021"/>
      <c r="AC38" s="2021"/>
      <c r="AD38" s="2021"/>
      <c r="AE38" s="2021"/>
      <c r="AF38" s="2021"/>
      <c r="AG38" s="2021"/>
      <c r="AH38" s="2021"/>
      <c r="AI38" s="2021"/>
      <c r="AJ38" s="2021"/>
      <c r="AK38" s="2021"/>
      <c r="AL38" s="2021"/>
      <c r="AM38" s="2021" t="s">
        <v>293</v>
      </c>
    </row>
    <row r="39" spans="1:44" ht="14.25" customHeight="1">
      <c r="Q39" s="304"/>
      <c r="R39" s="304"/>
      <c r="S39" s="2247" t="s">
        <v>88</v>
      </c>
      <c r="T39" s="2111" t="s">
        <v>1489</v>
      </c>
      <c r="U39" s="219"/>
      <c r="V39" s="2248" t="s">
        <v>1490</v>
      </c>
      <c r="W39" s="2249"/>
      <c r="X39" s="2249"/>
      <c r="Y39" s="2249"/>
      <c r="Z39" s="2249"/>
      <c r="AA39" s="2249"/>
      <c r="AB39" s="2250"/>
      <c r="AC39" s="2251" t="s">
        <v>1491</v>
      </c>
      <c r="AD39" s="2248" t="s">
        <v>1490</v>
      </c>
      <c r="AE39" s="2249"/>
      <c r="AF39" s="2249"/>
      <c r="AG39" s="2249"/>
      <c r="AH39" s="2249"/>
      <c r="AI39" s="2249"/>
      <c r="AJ39" s="2250"/>
      <c r="AK39" s="2251" t="s">
        <v>1492</v>
      </c>
      <c r="AL39" s="2254" t="s">
        <v>1493</v>
      </c>
      <c r="AM39" s="2021"/>
    </row>
    <row r="40" spans="1:44" ht="33.75" customHeight="1">
      <c r="Q40" s="304"/>
      <c r="R40" s="304"/>
      <c r="S40" s="2247"/>
      <c r="T40" s="2111"/>
      <c r="U40" s="924"/>
      <c r="V40" s="2080" t="s">
        <v>1494</v>
      </c>
      <c r="W40" s="2243"/>
      <c r="X40" s="2003" t="s">
        <v>1496</v>
      </c>
      <c r="Y40" s="2002"/>
      <c r="Z40" s="2003" t="s">
        <v>1497</v>
      </c>
      <c r="AA40" s="2008"/>
      <c r="AB40" s="2002"/>
      <c r="AC40" s="2252"/>
      <c r="AD40" s="2080" t="s">
        <v>1494</v>
      </c>
      <c r="AE40" s="2243"/>
      <c r="AF40" s="2003" t="s">
        <v>1496</v>
      </c>
      <c r="AG40" s="2002"/>
      <c r="AH40" s="2003" t="s">
        <v>1497</v>
      </c>
      <c r="AI40" s="2008"/>
      <c r="AJ40" s="2002"/>
      <c r="AK40" s="2252"/>
      <c r="AL40" s="2255"/>
      <c r="AM40" s="2021"/>
    </row>
    <row r="41" spans="1:44" ht="33.75" customHeight="1">
      <c r="A41" s="1251"/>
      <c r="B41" s="1251" t="s">
        <v>136</v>
      </c>
      <c r="C41" s="1251" t="s">
        <v>137</v>
      </c>
      <c r="D41" s="1251" t="s">
        <v>138</v>
      </c>
      <c r="E41" s="1245" t="s">
        <v>1498</v>
      </c>
      <c r="F41" s="1245" t="s">
        <v>1499</v>
      </c>
      <c r="G41" s="1245" t="s">
        <v>1500</v>
      </c>
      <c r="H41" s="1245" t="s">
        <v>1501</v>
      </c>
      <c r="I41" s="1245" t="s">
        <v>1502</v>
      </c>
      <c r="J41" s="1245" t="s">
        <v>1503</v>
      </c>
      <c r="K41" s="1245" t="s">
        <v>1504</v>
      </c>
      <c r="L41" s="1245" t="s">
        <v>1479</v>
      </c>
      <c r="Q41" s="304"/>
      <c r="R41" s="304"/>
      <c r="S41" s="2247"/>
      <c r="T41" s="2111"/>
      <c r="U41" s="220"/>
      <c r="V41" s="2136"/>
      <c r="W41" s="2244"/>
      <c r="X41" s="1092" t="s">
        <v>1505</v>
      </c>
      <c r="Y41" s="1092" t="s">
        <v>1506</v>
      </c>
      <c r="Z41" s="1223" t="s">
        <v>1507</v>
      </c>
      <c r="AA41" s="2117" t="s">
        <v>1508</v>
      </c>
      <c r="AB41" s="2131"/>
      <c r="AC41" s="2253"/>
      <c r="AD41" s="2136"/>
      <c r="AE41" s="2244"/>
      <c r="AF41" s="1092" t="s">
        <v>1505</v>
      </c>
      <c r="AG41" s="1092" t="s">
        <v>1506</v>
      </c>
      <c r="AH41" s="1223" t="s">
        <v>1507</v>
      </c>
      <c r="AI41" s="2117" t="s">
        <v>1508</v>
      </c>
      <c r="AJ41" s="2131"/>
      <c r="AK41" s="2253"/>
      <c r="AL41" s="2256"/>
      <c r="AM41" s="2021"/>
    </row>
    <row r="42" spans="1:44" s="1720" customFormat="1" ht="11.25" hidden="1" customHeight="1">
      <c r="A42" s="1251"/>
      <c r="B42" s="1251"/>
      <c r="C42" s="1251"/>
      <c r="D42" s="1251"/>
      <c r="E42" s="1251"/>
      <c r="F42" s="1251"/>
      <c r="G42" s="1251"/>
      <c r="H42" s="1251"/>
      <c r="I42" s="1251"/>
      <c r="J42" s="1251"/>
      <c r="K42" s="1251"/>
      <c r="L42" s="1245"/>
      <c r="M42" s="1243"/>
      <c r="N42" s="1243"/>
      <c r="O42" s="1243"/>
      <c r="P42" s="1119"/>
      <c r="Q42" s="1120"/>
      <c r="R42" s="1135">
        <v>1</v>
      </c>
      <c r="S42" s="1160" t="s">
        <v>109</v>
      </c>
      <c r="T42" s="1136" t="s">
        <v>110</v>
      </c>
      <c r="U42" s="1118" t="str">
        <f ca="1">OFFSET(U42,0,-1)</f>
        <v>2</v>
      </c>
      <c r="V42" s="1220">
        <f ca="1">OFFSET(V42,0,-1)+1</f>
        <v>3</v>
      </c>
      <c r="W42" s="1220"/>
      <c r="X42" s="1220">
        <f ca="1">OFFSET(X42,0,-1)+1</f>
        <v>1</v>
      </c>
      <c r="Y42" s="1220">
        <f ca="1">OFFSET(Y42,0,-1)+1</f>
        <v>2</v>
      </c>
      <c r="Z42" s="1220">
        <f ca="1">OFFSET(Z42,0,-1)+1</f>
        <v>3</v>
      </c>
      <c r="AA42" s="2245">
        <f ca="1">OFFSET(AA42,0,-1)+1</f>
        <v>4</v>
      </c>
      <c r="AB42" s="2245"/>
      <c r="AC42" s="1220">
        <f ca="1">OFFSET(AC42,0,-2)+1</f>
        <v>5</v>
      </c>
      <c r="AD42" s="1220">
        <f ca="1">OFFSET(AD42,0,-1)+1</f>
        <v>6</v>
      </c>
      <c r="AE42" s="1220"/>
      <c r="AF42" s="1220">
        <f ca="1">OFFSET(AF42,0,-1)+1</f>
        <v>1</v>
      </c>
      <c r="AG42" s="1220">
        <f ca="1">OFFSET(AG42,0,-1)+1</f>
        <v>2</v>
      </c>
      <c r="AH42" s="1220">
        <f ca="1">OFFSET(AH42,0,-1)+1</f>
        <v>3</v>
      </c>
      <c r="AI42" s="2245">
        <f ca="1">OFFSET(AI42,0,-1)+1</f>
        <v>4</v>
      </c>
      <c r="AJ42" s="2245"/>
      <c r="AK42" s="1220">
        <f ca="1">OFFSET(AK42,0,-2)+1</f>
        <v>5</v>
      </c>
      <c r="AL42" s="1118">
        <f ca="1">OFFSET(AL42,0,-1)</f>
        <v>5</v>
      </c>
      <c r="AM42" s="1220">
        <f ca="1">OFFSET(AM42,0,-1)+1</f>
        <v>6</v>
      </c>
      <c r="AN42" s="439"/>
      <c r="AO42" s="439"/>
      <c r="AP42" s="439"/>
      <c r="AQ42" s="439"/>
      <c r="AR42" s="439"/>
    </row>
    <row r="43" spans="1:44" ht="21" customHeight="1">
      <c r="A43" s="1244" t="s">
        <v>183</v>
      </c>
      <c r="B43" s="1244"/>
      <c r="C43" s="1244"/>
      <c r="D43" s="1244"/>
      <c r="E43" s="2235">
        <v>1</v>
      </c>
      <c r="F43" s="1244"/>
      <c r="G43" s="1244"/>
      <c r="H43" s="1244"/>
      <c r="I43" s="1244"/>
      <c r="J43" s="1244"/>
      <c r="K43" s="1244"/>
      <c r="L43" s="1245"/>
      <c r="M43" s="1246"/>
      <c r="N43" s="1246"/>
      <c r="O43" s="1246"/>
      <c r="P43" s="285"/>
      <c r="Q43" s="284"/>
      <c r="R43" s="279"/>
      <c r="S43" s="1221">
        <f>INDEX(PT_DIFFERENTIATION_NUM_NTAR,MATCH(A43,PT_DIFFERENTIATION_NTAR_ID,0))</f>
        <v>0</v>
      </c>
      <c r="T43" s="216" t="s">
        <v>124</v>
      </c>
      <c r="U43" s="218"/>
      <c r="V43" s="2229"/>
      <c r="W43" s="2230"/>
      <c r="X43" s="2230"/>
      <c r="Y43" s="2230"/>
      <c r="Z43" s="2230"/>
      <c r="AA43" s="2230"/>
      <c r="AB43" s="2230"/>
      <c r="AC43" s="2231"/>
      <c r="AD43" s="2229" t="str">
        <f>INDEX(PT_DIFFERENTIATION_NTAR,MATCH(A43,PT_DIFFERENTIATION_NTAR_ID,0))</f>
        <v/>
      </c>
      <c r="AE43" s="2230"/>
      <c r="AF43" s="2230"/>
      <c r="AG43" s="2230"/>
      <c r="AH43" s="2230"/>
      <c r="AI43" s="2230"/>
      <c r="AJ43" s="2230"/>
      <c r="AK43" s="2230"/>
      <c r="AL43" s="2231"/>
      <c r="AM43" s="1140" t="s">
        <v>1460</v>
      </c>
      <c r="AO43" s="428"/>
      <c r="AP43" s="428" t="str">
        <f t="shared" ref="AP43:AP57" si="1">IF(T43="","",T43)</f>
        <v>Наименование тарифа</v>
      </c>
      <c r="AQ43" s="428"/>
      <c r="AR43" s="428"/>
    </row>
    <row r="44" spans="1:44" ht="21" customHeight="1">
      <c r="A44" s="1244" t="s">
        <v>183</v>
      </c>
      <c r="B44" s="1244" t="s">
        <v>184</v>
      </c>
      <c r="C44" s="1244"/>
      <c r="D44" s="1244"/>
      <c r="E44" s="2236"/>
      <c r="F44" s="2235">
        <v>1</v>
      </c>
      <c r="G44" s="1244"/>
      <c r="H44" s="1244"/>
      <c r="I44" s="1244"/>
      <c r="J44" s="1244"/>
      <c r="K44" s="1244"/>
      <c r="L44" s="1245"/>
      <c r="M44" s="1246"/>
      <c r="N44" s="1246"/>
      <c r="O44" s="1246"/>
      <c r="P44" s="1217"/>
      <c r="Q44" s="276"/>
      <c r="R44" s="277"/>
      <c r="S44" s="1221" t="str">
        <f>INDEX(PT_DIFFERENTIATION_NUM_TER,MATCH(B44,PT_DIFFERENTIATION_TER_ID,0))</f>
        <v>.</v>
      </c>
      <c r="T44" s="228" t="s">
        <v>1461</v>
      </c>
      <c r="U44" s="218"/>
      <c r="V44" s="2229"/>
      <c r="W44" s="2230"/>
      <c r="X44" s="2230"/>
      <c r="Y44" s="2230"/>
      <c r="Z44" s="2230"/>
      <c r="AA44" s="2230"/>
      <c r="AB44" s="2230"/>
      <c r="AC44" s="2231"/>
      <c r="AD44" s="2229" t="str">
        <f>INDEX(PT_DIFFERENTIATION_TER,MATCH(B44,PT_DIFFERENTIATION_TER_ID,0))</f>
        <v/>
      </c>
      <c r="AE44" s="2230"/>
      <c r="AF44" s="2230"/>
      <c r="AG44" s="2230"/>
      <c r="AH44" s="2230"/>
      <c r="AI44" s="2230"/>
      <c r="AJ44" s="2230"/>
      <c r="AK44" s="2230"/>
      <c r="AL44" s="2231"/>
      <c r="AM44" s="1140" t="s">
        <v>1462</v>
      </c>
      <c r="AO44" s="428"/>
      <c r="AP44" s="428" t="str">
        <f t="shared" si="1"/>
        <v>Территория действия тарифа</v>
      </c>
      <c r="AQ44" s="428"/>
      <c r="AR44" s="428"/>
    </row>
    <row r="45" spans="1:44" ht="23.25" customHeight="1">
      <c r="A45" s="1244" t="s">
        <v>183</v>
      </c>
      <c r="B45" s="1244" t="s">
        <v>184</v>
      </c>
      <c r="C45" s="1244" t="s">
        <v>185</v>
      </c>
      <c r="D45" s="1244"/>
      <c r="E45" s="2236"/>
      <c r="F45" s="2236"/>
      <c r="G45" s="2235">
        <v>1</v>
      </c>
      <c r="H45" s="1244"/>
      <c r="I45" s="1244"/>
      <c r="J45" s="1244"/>
      <c r="K45" s="1244"/>
      <c r="L45" s="1245"/>
      <c r="M45" s="1246"/>
      <c r="N45" s="1246"/>
      <c r="O45" s="1246"/>
      <c r="P45" s="278"/>
      <c r="Q45" s="276"/>
      <c r="R45" s="277"/>
      <c r="S45" s="1221" t="str">
        <f>INDEX(PT_DIFFERENTIATION_NUM_CS,MATCH(C45,PT_DIFFERENTIATION_CS_ID,0))</f>
        <v>..</v>
      </c>
      <c r="T45" s="229" t="s">
        <v>1463</v>
      </c>
      <c r="U45" s="218"/>
      <c r="V45" s="2229"/>
      <c r="W45" s="2230"/>
      <c r="X45" s="2230"/>
      <c r="Y45" s="2230"/>
      <c r="Z45" s="2230"/>
      <c r="AA45" s="2230"/>
      <c r="AB45" s="2230"/>
      <c r="AC45" s="2231"/>
      <c r="AD45" s="2229" t="str">
        <f>INDEX(PT_DIFFERENTIATION_CS,MATCH(C45,PT_DIFFERENTIATION_CS_ID,0))</f>
        <v/>
      </c>
      <c r="AE45" s="2230"/>
      <c r="AF45" s="2230"/>
      <c r="AG45" s="2230"/>
      <c r="AH45" s="2230"/>
      <c r="AI45" s="2230"/>
      <c r="AJ45" s="2230"/>
      <c r="AK45" s="2230"/>
      <c r="AL45" s="2231"/>
      <c r="AM45" s="1140" t="s">
        <v>1464</v>
      </c>
      <c r="AO45" s="428"/>
      <c r="AP45" s="428" t="str">
        <f t="shared" si="1"/>
        <v xml:space="preserve">Наименование системы теплоснабжения </v>
      </c>
      <c r="AQ45" s="428"/>
      <c r="AR45" s="428"/>
    </row>
    <row r="46" spans="1:44" ht="21" customHeight="1">
      <c r="A46" s="1244" t="s">
        <v>183</v>
      </c>
      <c r="B46" s="1244" t="s">
        <v>184</v>
      </c>
      <c r="C46" s="1244" t="s">
        <v>185</v>
      </c>
      <c r="D46" s="1244" t="s">
        <v>186</v>
      </c>
      <c r="E46" s="2236"/>
      <c r="F46" s="2236"/>
      <c r="G46" s="2236"/>
      <c r="H46" s="2235">
        <v>1</v>
      </c>
      <c r="I46" s="1244"/>
      <c r="J46" s="1244"/>
      <c r="K46" s="1244"/>
      <c r="L46" s="1245"/>
      <c r="M46" s="1246"/>
      <c r="N46" s="1246"/>
      <c r="O46" s="1246"/>
      <c r="P46" s="278"/>
      <c r="Q46" s="276"/>
      <c r="R46" s="277"/>
      <c r="S46" s="1221" t="str">
        <f>INDEX(PT_DIFFERENTIATION_NUM_IST_TE,MATCH(D46,PT_DIFFERENTIATION_IST_TE_ID,0))</f>
        <v>...</v>
      </c>
      <c r="T46" s="230" t="s">
        <v>1465</v>
      </c>
      <c r="U46" s="218"/>
      <c r="V46" s="2229"/>
      <c r="W46" s="2230"/>
      <c r="X46" s="2230"/>
      <c r="Y46" s="2230"/>
      <c r="Z46" s="2230"/>
      <c r="AA46" s="2230"/>
      <c r="AB46" s="2230"/>
      <c r="AC46" s="2231"/>
      <c r="AD46" s="2229" t="str">
        <f>INDEX(PT_DIFFERENTIATION_IST_TE,MATCH(D46,PT_DIFFERENTIATION_IST_TE_ID,0))</f>
        <v/>
      </c>
      <c r="AE46" s="2230"/>
      <c r="AF46" s="2230"/>
      <c r="AG46" s="2230"/>
      <c r="AH46" s="2230"/>
      <c r="AI46" s="2230"/>
      <c r="AJ46" s="2230"/>
      <c r="AK46" s="2230"/>
      <c r="AL46" s="2231"/>
      <c r="AM46" s="1140" t="s">
        <v>1466</v>
      </c>
      <c r="AO46" s="428"/>
      <c r="AP46" s="428" t="str">
        <f t="shared" si="1"/>
        <v xml:space="preserve">Источник тепловой энергии  </v>
      </c>
      <c r="AQ46" s="428"/>
      <c r="AR46" s="428"/>
    </row>
    <row r="47" spans="1:44" s="1772" customFormat="1" ht="0" hidden="1" customHeight="1">
      <c r="A47" s="1228" t="s">
        <v>183</v>
      </c>
      <c r="B47" s="1228" t="s">
        <v>184</v>
      </c>
      <c r="C47" s="1228" t="s">
        <v>185</v>
      </c>
      <c r="D47" s="1228" t="s">
        <v>186</v>
      </c>
      <c r="E47" s="2236"/>
      <c r="F47" s="2236"/>
      <c r="G47" s="2236"/>
      <c r="H47" s="2236"/>
      <c r="I47" s="2237" t="str">
        <f>S46&amp;".1"</f>
        <v>....1</v>
      </c>
      <c r="J47" s="1228"/>
      <c r="K47" s="1228"/>
      <c r="L47" s="1231" t="s">
        <v>1467</v>
      </c>
      <c r="M47" s="438"/>
      <c r="N47" s="438"/>
      <c r="O47" s="438"/>
      <c r="P47" s="2157">
        <v>1</v>
      </c>
      <c r="Q47" s="1216"/>
      <c r="R47" s="280"/>
      <c r="S47" s="932"/>
      <c r="T47" s="1263"/>
      <c r="U47" s="1264"/>
      <c r="V47" s="2263"/>
      <c r="W47" s="2264"/>
      <c r="X47" s="2264"/>
      <c r="Y47" s="2264"/>
      <c r="Z47" s="2264"/>
      <c r="AA47" s="2264"/>
      <c r="AB47" s="2264"/>
      <c r="AC47" s="2265"/>
      <c r="AD47" s="2263"/>
      <c r="AE47" s="2264"/>
      <c r="AF47" s="2264"/>
      <c r="AG47" s="2264"/>
      <c r="AH47" s="2264"/>
      <c r="AI47" s="2264"/>
      <c r="AJ47" s="2264"/>
      <c r="AK47" s="2264"/>
      <c r="AL47" s="2265"/>
      <c r="AM47" s="1265"/>
      <c r="AO47" s="428"/>
      <c r="AP47" s="428" t="str">
        <f t="shared" si="1"/>
        <v/>
      </c>
      <c r="AQ47" s="428"/>
      <c r="AR47" s="428"/>
    </row>
    <row r="48" spans="1:44" ht="21" customHeight="1">
      <c r="A48" s="1244" t="s">
        <v>183</v>
      </c>
      <c r="B48" s="1244" t="s">
        <v>184</v>
      </c>
      <c r="C48" s="1244" t="s">
        <v>185</v>
      </c>
      <c r="D48" s="1244" t="s">
        <v>186</v>
      </c>
      <c r="E48" s="2236"/>
      <c r="F48" s="2236"/>
      <c r="G48" s="2236"/>
      <c r="H48" s="2236"/>
      <c r="I48" s="2238"/>
      <c r="J48" s="2237" t="str">
        <f>S46&amp;".1"</f>
        <v>....1</v>
      </c>
      <c r="K48" s="1244"/>
      <c r="L48" s="1245" t="s">
        <v>1470</v>
      </c>
      <c r="P48" s="2157"/>
      <c r="Q48" s="2157">
        <v>1</v>
      </c>
      <c r="R48" s="281"/>
      <c r="S48" s="1221" t="str">
        <f>$J48</f>
        <v>....1</v>
      </c>
      <c r="T48" s="204" t="s">
        <v>1471</v>
      </c>
      <c r="U48" s="218"/>
      <c r="V48" s="2224"/>
      <c r="W48" s="2225"/>
      <c r="X48" s="2225"/>
      <c r="Y48" s="2225"/>
      <c r="Z48" s="2225"/>
      <c r="AA48" s="2225"/>
      <c r="AB48" s="2225"/>
      <c r="AC48" s="2226"/>
      <c r="AD48" s="2224"/>
      <c r="AE48" s="2225"/>
      <c r="AF48" s="2225"/>
      <c r="AG48" s="2225"/>
      <c r="AH48" s="2225"/>
      <c r="AI48" s="2225"/>
      <c r="AJ48" s="2225"/>
      <c r="AK48" s="2225"/>
      <c r="AL48" s="2226"/>
      <c r="AM48" s="1140" t="s">
        <v>1472</v>
      </c>
      <c r="AO48" s="428"/>
      <c r="AP48" s="428" t="str">
        <f t="shared" si="1"/>
        <v>Группа потребителей</v>
      </c>
      <c r="AQ48" s="428"/>
      <c r="AR48" s="428"/>
    </row>
    <row r="49" spans="1:44" ht="21" customHeight="1">
      <c r="A49" s="1244" t="s">
        <v>183</v>
      </c>
      <c r="B49" s="1244" t="s">
        <v>184</v>
      </c>
      <c r="C49" s="1244" t="s">
        <v>185</v>
      </c>
      <c r="D49" s="1244" t="s">
        <v>186</v>
      </c>
      <c r="E49" s="2236"/>
      <c r="F49" s="2236"/>
      <c r="G49" s="2236"/>
      <c r="H49" s="2236"/>
      <c r="I49" s="2238"/>
      <c r="J49" s="2238"/>
      <c r="K49" s="2237" t="str">
        <f>J48&amp;".1"</f>
        <v>....1.1</v>
      </c>
      <c r="L49" s="1245" t="s">
        <v>1473</v>
      </c>
      <c r="P49" s="2157"/>
      <c r="Q49" s="2157"/>
      <c r="R49" s="281">
        <v>1</v>
      </c>
      <c r="S49" s="1221" t="str">
        <f>$K49</f>
        <v>....1.1</v>
      </c>
      <c r="T49" s="1232"/>
      <c r="U49" s="218"/>
      <c r="V49" s="1667"/>
      <c r="W49" s="1668"/>
      <c r="X49" s="1667"/>
      <c r="Y49" s="1669"/>
      <c r="Z49" s="2239"/>
      <c r="AA49" s="2031" t="s">
        <v>66</v>
      </c>
      <c r="AB49" s="2239"/>
      <c r="AC49" s="2031" t="s">
        <v>66</v>
      </c>
      <c r="AD49" s="1667"/>
      <c r="AE49" s="1668"/>
      <c r="AF49" s="1667"/>
      <c r="AG49" s="1669"/>
      <c r="AH49" s="2239"/>
      <c r="AI49" s="2031" t="s">
        <v>66</v>
      </c>
      <c r="AJ49" s="2241"/>
      <c r="AK49" s="2031" t="s">
        <v>66</v>
      </c>
      <c r="AL49" s="1675"/>
      <c r="AM49" s="2257" t="s">
        <v>1517</v>
      </c>
      <c r="AN49" s="439" t="e">
        <f ca="1">STRCHECKDATE(V50:AL50)</f>
        <v>#NAME?</v>
      </c>
      <c r="AO49" s="428"/>
      <c r="AP49" s="428" t="str">
        <f t="shared" si="1"/>
        <v/>
      </c>
      <c r="AQ49" s="428"/>
      <c r="AR49" s="428"/>
    </row>
    <row r="50" spans="1:44" ht="0.75" customHeight="1">
      <c r="A50" s="1244" t="s">
        <v>183</v>
      </c>
      <c r="B50" s="1244" t="s">
        <v>184</v>
      </c>
      <c r="C50" s="1244" t="s">
        <v>185</v>
      </c>
      <c r="D50" s="1244" t="s">
        <v>186</v>
      </c>
      <c r="E50" s="2236"/>
      <c r="F50" s="2236"/>
      <c r="G50" s="2236"/>
      <c r="H50" s="2236"/>
      <c r="I50" s="2238"/>
      <c r="J50" s="2238"/>
      <c r="K50" s="2237"/>
      <c r="L50" s="1245"/>
      <c r="P50" s="2157"/>
      <c r="Q50" s="2157"/>
      <c r="R50" s="281"/>
      <c r="S50" s="1227"/>
      <c r="T50" s="218"/>
      <c r="U50" s="218"/>
      <c r="V50" s="1668"/>
      <c r="W50" s="1668"/>
      <c r="X50" s="1668"/>
      <c r="Y50" s="1670" t="str">
        <f>Z49&amp;"-"&amp;AB49</f>
        <v>-</v>
      </c>
      <c r="Z50" s="2240"/>
      <c r="AA50" s="2031"/>
      <c r="AB50" s="2240"/>
      <c r="AC50" s="2031"/>
      <c r="AD50" s="1668"/>
      <c r="AE50" s="1668"/>
      <c r="AF50" s="1668"/>
      <c r="AG50" s="1670" t="str">
        <f>AH49&amp;"-"&amp;AJ49</f>
        <v>-</v>
      </c>
      <c r="AH50" s="2240"/>
      <c r="AI50" s="2031"/>
      <c r="AJ50" s="2242"/>
      <c r="AK50" s="2031"/>
      <c r="AL50" s="1676"/>
      <c r="AM50" s="2258"/>
      <c r="AO50" s="428"/>
      <c r="AP50" s="428" t="str">
        <f t="shared" si="1"/>
        <v/>
      </c>
      <c r="AQ50" s="428"/>
      <c r="AR50" s="428"/>
    </row>
    <row r="51" spans="1:44" ht="11.25" customHeight="1">
      <c r="A51" s="1244" t="s">
        <v>183</v>
      </c>
      <c r="B51" s="1244" t="s">
        <v>184</v>
      </c>
      <c r="C51" s="1244" t="s">
        <v>185</v>
      </c>
      <c r="D51" s="1244" t="s">
        <v>186</v>
      </c>
      <c r="E51" s="2236"/>
      <c r="F51" s="2236"/>
      <c r="G51" s="2236"/>
      <c r="H51" s="2236"/>
      <c r="I51" s="2238"/>
      <c r="J51" s="2237"/>
      <c r="K51" s="1244"/>
      <c r="L51" s="1245"/>
      <c r="P51" s="2157"/>
      <c r="Q51" s="2157"/>
      <c r="R51" s="280"/>
      <c r="S51" s="1161"/>
      <c r="T51" s="205" t="s">
        <v>1475</v>
      </c>
      <c r="U51" s="294"/>
      <c r="V51" s="294"/>
      <c r="W51" s="294"/>
      <c r="X51" s="294"/>
      <c r="Y51" s="294"/>
      <c r="Z51" s="294"/>
      <c r="AA51" s="294"/>
      <c r="AB51" s="294"/>
      <c r="AC51" s="294"/>
      <c r="AD51" s="294"/>
      <c r="AE51" s="294"/>
      <c r="AF51" s="294"/>
      <c r="AG51" s="294"/>
      <c r="AH51" s="294"/>
      <c r="AI51" s="294"/>
      <c r="AJ51" s="294"/>
      <c r="AK51" s="294"/>
      <c r="AL51" s="251"/>
      <c r="AM51" s="2259"/>
      <c r="AO51" s="428"/>
      <c r="AP51" s="428" t="str">
        <f t="shared" si="1"/>
        <v>Добавить вид теплоносителя (параметры теплоносителя)</v>
      </c>
      <c r="AQ51" s="428"/>
      <c r="AR51" s="428"/>
    </row>
    <row r="52" spans="1:44" ht="11.25" customHeight="1">
      <c r="A52" s="1244" t="s">
        <v>183</v>
      </c>
      <c r="B52" s="1244" t="s">
        <v>184</v>
      </c>
      <c r="C52" s="1244" t="s">
        <v>185</v>
      </c>
      <c r="D52" s="1244" t="s">
        <v>186</v>
      </c>
      <c r="E52" s="2236"/>
      <c r="F52" s="2236"/>
      <c r="G52" s="2236"/>
      <c r="H52" s="2236"/>
      <c r="I52" s="2237"/>
      <c r="J52" s="1244"/>
      <c r="K52" s="1244"/>
      <c r="L52" s="1245"/>
      <c r="P52" s="2157"/>
      <c r="Q52" s="1216"/>
      <c r="R52" s="280"/>
      <c r="S52" s="1161"/>
      <c r="T52" s="291" t="s">
        <v>1476</v>
      </c>
      <c r="U52" s="294"/>
      <c r="V52" s="294"/>
      <c r="W52" s="294"/>
      <c r="X52" s="294"/>
      <c r="Y52" s="294"/>
      <c r="Z52" s="294"/>
      <c r="AA52" s="294"/>
      <c r="AB52" s="294"/>
      <c r="AC52" s="293"/>
      <c r="AD52" s="294"/>
      <c r="AE52" s="294"/>
      <c r="AF52" s="294"/>
      <c r="AG52" s="294"/>
      <c r="AH52" s="294"/>
      <c r="AI52" s="294"/>
      <c r="AJ52" s="294"/>
      <c r="AK52" s="293"/>
      <c r="AL52" s="294"/>
      <c r="AM52" s="221"/>
      <c r="AO52" s="428"/>
      <c r="AP52" s="428" t="str">
        <f t="shared" si="1"/>
        <v>Добавить группу потребителей</v>
      </c>
      <c r="AQ52" s="428"/>
      <c r="AR52" s="428"/>
    </row>
    <row r="53" spans="1:44" ht="0" hidden="1" customHeight="1">
      <c r="A53" s="1244" t="s">
        <v>183</v>
      </c>
      <c r="B53" s="1244" t="s">
        <v>184</v>
      </c>
      <c r="C53" s="1244" t="s">
        <v>185</v>
      </c>
      <c r="D53" s="1244" t="s">
        <v>186</v>
      </c>
      <c r="E53" s="2236"/>
      <c r="F53" s="2236"/>
      <c r="G53" s="2236"/>
      <c r="H53" s="2235"/>
      <c r="I53" s="1244"/>
      <c r="J53" s="1244"/>
      <c r="K53" s="1244"/>
      <c r="L53" s="1245"/>
      <c r="M53" s="1246"/>
      <c r="N53" s="1246"/>
      <c r="O53" s="464"/>
      <c r="P53" s="284"/>
      <c r="Q53" s="303"/>
      <c r="R53" s="279"/>
      <c r="S53" s="1266"/>
      <c r="T53" s="1267"/>
      <c r="U53" s="1268"/>
      <c r="V53" s="1268"/>
      <c r="W53" s="1268"/>
      <c r="X53" s="1268"/>
      <c r="Y53" s="1268"/>
      <c r="Z53" s="1268"/>
      <c r="AA53" s="1268"/>
      <c r="AB53" s="1268"/>
      <c r="AC53" s="1268"/>
      <c r="AD53" s="1268"/>
      <c r="AE53" s="1268"/>
      <c r="AF53" s="1268"/>
      <c r="AG53" s="1268"/>
      <c r="AH53" s="1268"/>
      <c r="AI53" s="1268"/>
      <c r="AJ53" s="1268"/>
      <c r="AK53" s="1268"/>
      <c r="AL53" s="1268"/>
      <c r="AM53" s="1269"/>
      <c r="AO53" s="428"/>
      <c r="AP53" s="428" t="str">
        <f t="shared" si="1"/>
        <v/>
      </c>
      <c r="AQ53" s="428"/>
      <c r="AR53" s="428"/>
    </row>
    <row r="54" spans="1:44" s="1772" customFormat="1" ht="0.75" customHeight="1">
      <c r="A54" s="1228" t="s">
        <v>183</v>
      </c>
      <c r="B54" s="1228" t="s">
        <v>184</v>
      </c>
      <c r="C54" s="1228" t="s">
        <v>185</v>
      </c>
      <c r="D54" s="1200"/>
      <c r="E54" s="2236"/>
      <c r="F54" s="2236"/>
      <c r="G54" s="2235"/>
      <c r="H54" s="1200"/>
      <c r="I54" s="1200"/>
      <c r="J54" s="1200"/>
      <c r="K54" s="1200"/>
      <c r="L54" s="1224"/>
      <c r="M54" s="1201"/>
      <c r="N54" s="1201"/>
      <c r="P54" s="1202"/>
      <c r="Q54" s="1203"/>
      <c r="R54" s="1202"/>
      <c r="S54" s="1208"/>
      <c r="T54" s="1211" t="s">
        <v>1436</v>
      </c>
      <c r="U54" s="1210"/>
      <c r="V54" s="1210"/>
      <c r="W54" s="1210"/>
      <c r="X54" s="1210"/>
      <c r="Y54" s="1210"/>
      <c r="Z54" s="1210"/>
      <c r="AA54" s="1210"/>
      <c r="AB54" s="1210"/>
      <c r="AC54" s="1210"/>
      <c r="AD54" s="1210"/>
      <c r="AE54" s="1210"/>
      <c r="AF54" s="1210"/>
      <c r="AG54" s="1210"/>
      <c r="AH54" s="1210"/>
      <c r="AI54" s="1210"/>
      <c r="AJ54" s="1210"/>
      <c r="AK54" s="1210"/>
      <c r="AL54" s="1210"/>
      <c r="AM54" s="1210"/>
      <c r="AO54" s="696"/>
      <c r="AP54" s="696" t="str">
        <f t="shared" si="1"/>
        <v>Добавить источник для дифференциации</v>
      </c>
      <c r="AQ54" s="696"/>
      <c r="AR54" s="696"/>
    </row>
    <row r="55" spans="1:44" s="1772" customFormat="1" ht="0.75" customHeight="1">
      <c r="A55" s="1228" t="s">
        <v>183</v>
      </c>
      <c r="B55" s="1228" t="s">
        <v>184</v>
      </c>
      <c r="C55" s="1200"/>
      <c r="D55" s="1200"/>
      <c r="E55" s="2236"/>
      <c r="F55" s="2235"/>
      <c r="G55" s="1200"/>
      <c r="H55" s="1200"/>
      <c r="I55" s="1200"/>
      <c r="J55" s="1200"/>
      <c r="K55" s="1200"/>
      <c r="L55" s="1224"/>
      <c r="M55" s="1207"/>
      <c r="N55" s="1207"/>
      <c r="P55" s="1202"/>
      <c r="Q55" s="1203"/>
      <c r="R55" s="1202"/>
      <c r="S55" s="1208"/>
      <c r="T55" s="1211" t="s">
        <v>1437</v>
      </c>
      <c r="U55" s="1210"/>
      <c r="V55" s="1210"/>
      <c r="W55" s="1210"/>
      <c r="X55" s="1210"/>
      <c r="Y55" s="1210"/>
      <c r="Z55" s="1210"/>
      <c r="AA55" s="1210"/>
      <c r="AB55" s="1210"/>
      <c r="AC55" s="1210"/>
      <c r="AD55" s="1210"/>
      <c r="AE55" s="1210"/>
      <c r="AF55" s="1210"/>
      <c r="AG55" s="1210"/>
      <c r="AH55" s="1210"/>
      <c r="AI55" s="1210"/>
      <c r="AJ55" s="1210"/>
      <c r="AK55" s="1210"/>
      <c r="AL55" s="1210"/>
      <c r="AM55" s="1210"/>
      <c r="AO55" s="696"/>
      <c r="AP55" s="696" t="str">
        <f t="shared" si="1"/>
        <v>Добавить централизованную систему для дифференциации</v>
      </c>
      <c r="AQ55" s="696"/>
      <c r="AR55" s="696"/>
    </row>
    <row r="56" spans="1:44" s="1772" customFormat="1" ht="0.75" customHeight="1">
      <c r="A56" s="1228" t="s">
        <v>183</v>
      </c>
      <c r="B56" s="1228"/>
      <c r="C56" s="1228"/>
      <c r="D56" s="1228"/>
      <c r="E56" s="2235"/>
      <c r="F56" s="1228"/>
      <c r="G56" s="1228"/>
      <c r="H56" s="1228"/>
      <c r="I56" s="1228"/>
      <c r="J56" s="1228"/>
      <c r="K56" s="1228"/>
      <c r="L56" s="1231"/>
      <c r="M56" s="1207"/>
      <c r="N56" s="1207"/>
      <c r="O56" s="446"/>
      <c r="P56" s="311"/>
      <c r="Q56" s="1229"/>
      <c r="R56" s="311"/>
      <c r="S56" s="1208"/>
      <c r="T56" s="1211" t="s">
        <v>1438</v>
      </c>
      <c r="U56" s="1210"/>
      <c r="V56" s="1210"/>
      <c r="W56" s="1210"/>
      <c r="X56" s="1210"/>
      <c r="Y56" s="1210"/>
      <c r="Z56" s="1210"/>
      <c r="AA56" s="1210"/>
      <c r="AB56" s="1210"/>
      <c r="AC56" s="1210"/>
      <c r="AD56" s="1210"/>
      <c r="AE56" s="1210"/>
      <c r="AF56" s="1210"/>
      <c r="AG56" s="1210"/>
      <c r="AH56" s="1210"/>
      <c r="AI56" s="1210"/>
      <c r="AJ56" s="1210"/>
      <c r="AK56" s="1210"/>
      <c r="AL56" s="1210"/>
      <c r="AM56" s="1210"/>
      <c r="AO56" s="428"/>
      <c r="AP56" s="428" t="str">
        <f t="shared" si="1"/>
        <v>Добавить территорию для дифференциации</v>
      </c>
      <c r="AQ56" s="428"/>
      <c r="AR56" s="428"/>
    </row>
    <row r="57" spans="1:44" s="1772" customFormat="1" ht="0.75" customHeight="1">
      <c r="A57" s="1200"/>
      <c r="B57" s="1200"/>
      <c r="C57" s="1200"/>
      <c r="D57" s="1200"/>
      <c r="E57" s="1228"/>
      <c r="F57" s="1200"/>
      <c r="G57" s="1200"/>
      <c r="H57" s="1200"/>
      <c r="I57" s="1200"/>
      <c r="J57" s="1200"/>
      <c r="K57" s="1200"/>
      <c r="L57" s="1224"/>
      <c r="M57" s="1207"/>
      <c r="N57" s="1207"/>
      <c r="P57" s="1202"/>
      <c r="Q57" s="1203"/>
      <c r="R57" s="1202"/>
      <c r="S57" s="1208"/>
      <c r="T57" s="1211" t="s">
        <v>1439</v>
      </c>
      <c r="U57" s="1210"/>
      <c r="V57" s="1210"/>
      <c r="W57" s="1210"/>
      <c r="X57" s="1210"/>
      <c r="Y57" s="1210"/>
      <c r="Z57" s="1210"/>
      <c r="AA57" s="1210"/>
      <c r="AB57" s="1210"/>
      <c r="AC57" s="1210"/>
      <c r="AD57" s="1210"/>
      <c r="AE57" s="1210"/>
      <c r="AF57" s="1210"/>
      <c r="AG57" s="1210"/>
      <c r="AH57" s="1210"/>
      <c r="AI57" s="1210"/>
      <c r="AJ57" s="1210"/>
      <c r="AK57" s="1210"/>
      <c r="AL57" s="1210"/>
      <c r="AM57" s="1210"/>
      <c r="AO57" s="696"/>
      <c r="AP57" s="696" t="str">
        <f t="shared" si="1"/>
        <v>Добавить наименование тарифа</v>
      </c>
      <c r="AQ57" s="696"/>
      <c r="AR57" s="696"/>
    </row>
    <row r="58" spans="1:44" ht="11.25" hidden="1" customHeight="1">
      <c r="M58" s="1036"/>
      <c r="N58" s="1036"/>
      <c r="O58" s="464"/>
      <c r="P58" s="1031"/>
      <c r="Q58" s="1031"/>
      <c r="R58" s="1031"/>
      <c r="S58" s="1031"/>
      <c r="AN58" s="1031"/>
      <c r="AO58" s="1031"/>
      <c r="AP58" s="1031"/>
      <c r="AQ58" s="1031"/>
      <c r="AR58" s="1031"/>
    </row>
    <row r="59" spans="1:44" ht="21.75" hidden="1" customHeight="1">
      <c r="O59" s="464"/>
      <c r="S59" s="1128" t="s">
        <v>1509</v>
      </c>
      <c r="T59" s="2234" t="s">
        <v>1518</v>
      </c>
      <c r="U59" s="2234"/>
      <c r="V59" s="2234"/>
      <c r="W59" s="2234"/>
      <c r="X59" s="2234"/>
      <c r="Y59" s="2234"/>
      <c r="Z59" s="2234"/>
      <c r="AA59" s="2234"/>
      <c r="AB59" s="2234"/>
      <c r="AC59" s="2234"/>
      <c r="AD59" s="2234"/>
      <c r="AE59" s="2234"/>
      <c r="AF59" s="2234"/>
      <c r="AG59" s="2234"/>
      <c r="AH59" s="2234"/>
      <c r="AI59" s="2234"/>
      <c r="AJ59" s="2234"/>
      <c r="AK59" s="2234"/>
      <c r="AL59" s="2234"/>
      <c r="AM59" s="2234"/>
    </row>
    <row r="60" spans="1:44" ht="29.25" hidden="1" customHeight="1">
      <c r="O60" s="464"/>
      <c r="T60" s="2234" t="s">
        <v>1519</v>
      </c>
      <c r="U60" s="2234"/>
      <c r="V60" s="2234"/>
      <c r="W60" s="2234"/>
      <c r="X60" s="2234"/>
      <c r="Y60" s="2234"/>
      <c r="Z60" s="2234"/>
      <c r="AA60" s="2234"/>
      <c r="AB60" s="2234"/>
      <c r="AC60" s="2234"/>
      <c r="AD60" s="2234"/>
      <c r="AE60" s="2234"/>
      <c r="AF60" s="2234"/>
      <c r="AG60" s="2234"/>
      <c r="AH60" s="2234"/>
      <c r="AI60" s="2234"/>
      <c r="AJ60" s="2234"/>
      <c r="AK60" s="2234"/>
      <c r="AL60" s="2234"/>
      <c r="AM60" s="2234"/>
    </row>
    <row r="61" spans="1:44" ht="39.75" hidden="1" customHeight="1">
      <c r="O61" s="464"/>
      <c r="T61" s="2234" t="s">
        <v>1520</v>
      </c>
      <c r="U61" s="2234"/>
      <c r="V61" s="2234"/>
      <c r="W61" s="2234"/>
      <c r="X61" s="2234"/>
      <c r="Y61" s="2234"/>
      <c r="Z61" s="2234"/>
      <c r="AA61" s="2234"/>
      <c r="AB61" s="2234"/>
      <c r="AC61" s="2234"/>
      <c r="AD61" s="2234"/>
      <c r="AE61" s="2234"/>
      <c r="AF61" s="2234"/>
      <c r="AG61" s="2234"/>
      <c r="AH61" s="2234"/>
      <c r="AI61" s="2234"/>
      <c r="AJ61" s="2234"/>
      <c r="AK61" s="2234"/>
      <c r="AL61" s="2234"/>
      <c r="AM61" s="2234"/>
    </row>
    <row r="62" spans="1:44" ht="14.25" hidden="1" customHeight="1">
      <c r="O62" s="464"/>
    </row>
    <row r="63" spans="1:44" ht="19.5" hidden="1" customHeight="1">
      <c r="O63" s="464"/>
      <c r="S63" s="1128" t="s">
        <v>1509</v>
      </c>
      <c r="T63" s="2063" t="s">
        <v>1512</v>
      </c>
      <c r="U63" s="2234"/>
      <c r="V63" s="2234"/>
      <c r="W63" s="2234"/>
      <c r="X63" s="2234"/>
      <c r="Y63" s="2234"/>
      <c r="Z63" s="2234"/>
      <c r="AA63" s="2234"/>
      <c r="AB63" s="2234"/>
      <c r="AC63" s="2234"/>
      <c r="AD63" s="2234"/>
      <c r="AE63" s="2234"/>
      <c r="AF63" s="2234"/>
      <c r="AG63" s="2234"/>
      <c r="AH63" s="2234"/>
      <c r="AI63" s="2234"/>
      <c r="AJ63" s="2234"/>
      <c r="AK63" s="2234"/>
      <c r="AL63" s="2234"/>
      <c r="AM63" s="2234"/>
    </row>
    <row r="64" spans="1:44" ht="27.75" hidden="1" customHeight="1">
      <c r="O64" s="464"/>
      <c r="T64" s="2234" t="s">
        <v>1521</v>
      </c>
      <c r="U64" s="2234"/>
      <c r="V64" s="2234"/>
      <c r="W64" s="2234"/>
      <c r="X64" s="2234"/>
      <c r="Y64" s="2234"/>
      <c r="Z64" s="2234"/>
      <c r="AA64" s="2234"/>
      <c r="AB64" s="2234"/>
      <c r="AC64" s="2234"/>
      <c r="AD64" s="2234"/>
      <c r="AE64" s="2234"/>
      <c r="AF64" s="2234"/>
      <c r="AG64" s="2234"/>
      <c r="AH64" s="2234"/>
      <c r="AI64" s="2234"/>
      <c r="AJ64" s="2234"/>
      <c r="AK64" s="2234"/>
      <c r="AL64" s="2234"/>
      <c r="AM64" s="2234"/>
    </row>
    <row r="65" spans="20:39" ht="33.75" hidden="1" customHeight="1">
      <c r="T65" s="2234" t="s">
        <v>1522</v>
      </c>
      <c r="U65" s="2234"/>
      <c r="V65" s="2234"/>
      <c r="W65" s="2234"/>
      <c r="X65" s="2234"/>
      <c r="Y65" s="2234"/>
      <c r="Z65" s="2234"/>
      <c r="AA65" s="2234"/>
      <c r="AB65" s="2234"/>
      <c r="AC65" s="2234"/>
      <c r="AD65" s="2234"/>
      <c r="AE65" s="2234"/>
      <c r="AF65" s="2234"/>
      <c r="AG65" s="2234"/>
      <c r="AH65" s="2234"/>
      <c r="AI65" s="2234"/>
      <c r="AJ65" s="2234"/>
      <c r="AK65" s="2234"/>
      <c r="AL65" s="2234"/>
      <c r="AM65" s="2234"/>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759" hidden="1"/>
    <col min="2" max="2" width="11" style="1759" hidden="1" customWidth="1"/>
    <col min="3" max="3" width="10.5703125" style="1759" hidden="1"/>
    <col min="4" max="4" width="11.85546875" style="1759" hidden="1" customWidth="1"/>
    <col min="5" max="5" width="10" style="1759" hidden="1" customWidth="1"/>
    <col min="6" max="6" width="8.7109375" style="1759" hidden="1" customWidth="1"/>
    <col min="7" max="7" width="7.5703125" style="1759" hidden="1" customWidth="1"/>
    <col min="8" max="8" width="11.42578125" style="1759" hidden="1" customWidth="1"/>
    <col min="9" max="9" width="12" style="1759" hidden="1" customWidth="1"/>
    <col min="10" max="10" width="9.85546875" style="1759" hidden="1" customWidth="1"/>
    <col min="11" max="11" width="11.42578125" style="1759" hidden="1" customWidth="1"/>
    <col min="12" max="12" width="19.140625" style="1758" hidden="1" customWidth="1"/>
    <col min="13" max="14" width="12.28515625" style="1686" hidden="1" customWidth="1"/>
    <col min="15" max="15" width="23.42578125" style="1686" hidden="1" customWidth="1"/>
    <col min="16" max="16" width="3.7109375" style="1740" hidden="1" customWidth="1"/>
    <col min="17" max="18" width="3.7109375" style="1677" customWidth="1"/>
    <col min="19" max="19" width="12.7109375" style="1727" customWidth="1"/>
    <col min="20" max="20" width="32" style="1846" customWidth="1"/>
    <col min="21" max="21" width="0.140625" style="1846" customWidth="1"/>
    <col min="22" max="22" width="24.7109375" style="1846" hidden="1" customWidth="1"/>
    <col min="23" max="23" width="0.140625" style="1846" hidden="1" customWidth="1"/>
    <col min="24" max="25" width="24.7109375" style="1846" hidden="1" customWidth="1"/>
    <col min="26" max="26" width="11.7109375" style="1846" hidden="1" customWidth="1"/>
    <col min="27" max="27" width="3.7109375" style="1846" hidden="1" customWidth="1"/>
    <col min="28" max="28" width="11.7109375" style="1846" hidden="1" customWidth="1"/>
    <col min="29" max="29" width="8.5703125" style="1846" hidden="1" customWidth="1"/>
    <col min="30" max="30" width="24.7109375" style="1846" customWidth="1"/>
    <col min="31" max="31" width="0.140625" style="1846" customWidth="1"/>
    <col min="32" max="33" width="24.7109375" style="1846" customWidth="1"/>
    <col min="34" max="34" width="11.7109375" style="1846" customWidth="1"/>
    <col min="35" max="35" width="3.7109375" style="1846" customWidth="1"/>
    <col min="36" max="36" width="11.7109375" style="1846" customWidth="1"/>
    <col min="37" max="37" width="8.5703125" style="1846" hidden="1" customWidth="1"/>
    <col min="38" max="38" width="4.7109375" style="1846" customWidth="1"/>
    <col min="39" max="39" width="115.7109375" style="1846" customWidth="1"/>
    <col min="40" max="41" width="10.5703125" style="1772"/>
    <col min="42" max="42" width="11.140625" style="1772" customWidth="1"/>
    <col min="43" max="44" width="10.5703125" style="1772"/>
  </cols>
  <sheetData>
    <row r="1" spans="1:44" ht="14.25" hidden="1" customHeight="1">
      <c r="Y1" s="254"/>
      <c r="Z1" s="254"/>
      <c r="AG1" s="254"/>
      <c r="AH1" s="254"/>
    </row>
    <row r="2" spans="1:44" ht="21" hidden="1" customHeight="1">
      <c r="A2" s="1244"/>
      <c r="B2" s="1244"/>
      <c r="C2" s="1244"/>
      <c r="D2" s="1244"/>
      <c r="E2" s="2235">
        <v>1</v>
      </c>
      <c r="F2" s="1244"/>
      <c r="G2" s="1244"/>
      <c r="H2" s="1244"/>
      <c r="I2" s="1244"/>
      <c r="J2" s="1244"/>
      <c r="K2" s="1244"/>
      <c r="L2" s="1245"/>
      <c r="M2" s="1246"/>
      <c r="N2" s="1246"/>
      <c r="O2" s="1246"/>
      <c r="P2" s="285"/>
      <c r="Q2" s="284"/>
      <c r="R2" s="279"/>
      <c r="S2" s="1221" t="e">
        <f>INDEX(PT_DIFFERENTIATION_NUM_NTAR,MATCH(A2,PT_DIFFERENTIATION_NTAR_ID,0))</f>
        <v>#N/A</v>
      </c>
      <c r="T2" s="216" t="s">
        <v>124</v>
      </c>
      <c r="U2" s="218"/>
      <c r="V2" s="2229"/>
      <c r="W2" s="2230"/>
      <c r="X2" s="2230"/>
      <c r="Y2" s="2230"/>
      <c r="Z2" s="2230"/>
      <c r="AA2" s="2230"/>
      <c r="AB2" s="2230"/>
      <c r="AC2" s="2231"/>
      <c r="AD2" s="2229" t="e">
        <f>INDEX(PT_DIFFERENTIATION_NTAR,MATCH(A2,PT_DIFFERENTIATION_NTAR_ID,0))</f>
        <v>#N/A</v>
      </c>
      <c r="AE2" s="2230"/>
      <c r="AF2" s="2230"/>
      <c r="AG2" s="2230"/>
      <c r="AH2" s="2230"/>
      <c r="AI2" s="2230"/>
      <c r="AJ2" s="2230"/>
      <c r="AK2" s="2230"/>
      <c r="AL2" s="2231"/>
      <c r="AM2" s="1140" t="s">
        <v>1460</v>
      </c>
      <c r="AO2" s="428"/>
      <c r="AP2" s="428" t="str">
        <f t="shared" ref="AP2:AP15" si="0">IF(T2="","",T2)</f>
        <v>Наименование тарифа</v>
      </c>
      <c r="AQ2" s="428"/>
      <c r="AR2" s="428"/>
    </row>
    <row r="3" spans="1:44" ht="21" hidden="1" customHeight="1">
      <c r="A3" s="1244"/>
      <c r="B3" s="1244"/>
      <c r="C3" s="1244"/>
      <c r="D3" s="1244"/>
      <c r="E3" s="2236"/>
      <c r="F3" s="2235">
        <v>1</v>
      </c>
      <c r="G3" s="1244"/>
      <c r="H3" s="1244"/>
      <c r="I3" s="1244"/>
      <c r="J3" s="1244"/>
      <c r="K3" s="1244"/>
      <c r="L3" s="1245"/>
      <c r="M3" s="1246"/>
      <c r="N3" s="1246"/>
      <c r="O3" s="1246"/>
      <c r="P3" s="1217"/>
      <c r="Q3" s="276"/>
      <c r="R3" s="277"/>
      <c r="S3" s="1221" t="e">
        <f>INDEX(PT_DIFFERENTIATION_NUM_TER,MATCH(B3,PT_DIFFERENTIATION_TER_ID,0))</f>
        <v>#N/A</v>
      </c>
      <c r="T3" s="228" t="s">
        <v>1461</v>
      </c>
      <c r="U3" s="218"/>
      <c r="V3" s="2229"/>
      <c r="W3" s="2230"/>
      <c r="X3" s="2230"/>
      <c r="Y3" s="2230"/>
      <c r="Z3" s="2230"/>
      <c r="AA3" s="2230"/>
      <c r="AB3" s="2230"/>
      <c r="AC3" s="2231"/>
      <c r="AD3" s="2229" t="e">
        <f>INDEX(PT_DIFFERENTIATION_TER,MATCH(B3,PT_DIFFERENTIATION_TER_ID,0))</f>
        <v>#N/A</v>
      </c>
      <c r="AE3" s="2230"/>
      <c r="AF3" s="2230"/>
      <c r="AG3" s="2230"/>
      <c r="AH3" s="2230"/>
      <c r="AI3" s="2230"/>
      <c r="AJ3" s="2230"/>
      <c r="AK3" s="2230"/>
      <c r="AL3" s="2231"/>
      <c r="AM3" s="1140" t="s">
        <v>1462</v>
      </c>
      <c r="AO3" s="428"/>
      <c r="AP3" s="428" t="str">
        <f t="shared" si="0"/>
        <v>Территория действия тарифа</v>
      </c>
      <c r="AQ3" s="428"/>
      <c r="AR3" s="428"/>
    </row>
    <row r="4" spans="1:44" ht="23.25" hidden="1" customHeight="1">
      <c r="A4" s="1244"/>
      <c r="B4" s="1244"/>
      <c r="C4" s="1244"/>
      <c r="D4" s="1244"/>
      <c r="E4" s="2236"/>
      <c r="F4" s="2236"/>
      <c r="G4" s="2235">
        <v>1</v>
      </c>
      <c r="H4" s="1244"/>
      <c r="I4" s="1244"/>
      <c r="J4" s="1244"/>
      <c r="K4" s="1244"/>
      <c r="L4" s="1245"/>
      <c r="M4" s="1246"/>
      <c r="N4" s="1246"/>
      <c r="O4" s="1246"/>
      <c r="P4" s="278"/>
      <c r="Q4" s="276"/>
      <c r="R4" s="277"/>
      <c r="S4" s="1221" t="e">
        <f>INDEX(PT_DIFFERENTIATION_NUM_CS,MATCH(C4,PT_DIFFERENTIATION_CS_ID,0))</f>
        <v>#N/A</v>
      </c>
      <c r="T4" s="229" t="s">
        <v>1463</v>
      </c>
      <c r="U4" s="218"/>
      <c r="V4" s="2229"/>
      <c r="W4" s="2230"/>
      <c r="X4" s="2230"/>
      <c r="Y4" s="2230"/>
      <c r="Z4" s="2230"/>
      <c r="AA4" s="2230"/>
      <c r="AB4" s="2230"/>
      <c r="AC4" s="2231"/>
      <c r="AD4" s="2229" t="e">
        <f>INDEX(PT_DIFFERENTIATION_CS,MATCH(C4,PT_DIFFERENTIATION_CS_ID,0))</f>
        <v>#N/A</v>
      </c>
      <c r="AE4" s="2230"/>
      <c r="AF4" s="2230"/>
      <c r="AG4" s="2230"/>
      <c r="AH4" s="2230"/>
      <c r="AI4" s="2230"/>
      <c r="AJ4" s="2230"/>
      <c r="AK4" s="2230"/>
      <c r="AL4" s="2231"/>
      <c r="AM4" s="1140" t="s">
        <v>1464</v>
      </c>
      <c r="AO4" s="428"/>
      <c r="AP4" s="428" t="str">
        <f t="shared" si="0"/>
        <v xml:space="preserve">Наименование системы теплоснабжения </v>
      </c>
      <c r="AQ4" s="428"/>
      <c r="AR4" s="428"/>
    </row>
    <row r="5" spans="1:44" ht="21" hidden="1" customHeight="1">
      <c r="A5" s="1244"/>
      <c r="B5" s="1244"/>
      <c r="C5" s="1244"/>
      <c r="D5" s="1244"/>
      <c r="E5" s="2236"/>
      <c r="F5" s="2236"/>
      <c r="G5" s="2236"/>
      <c r="H5" s="2235">
        <v>1</v>
      </c>
      <c r="I5" s="1244"/>
      <c r="J5" s="1244"/>
      <c r="K5" s="1244"/>
      <c r="L5" s="1245"/>
      <c r="M5" s="1246"/>
      <c r="N5" s="1246"/>
      <c r="O5" s="1246"/>
      <c r="P5" s="278"/>
      <c r="Q5" s="276"/>
      <c r="R5" s="277"/>
      <c r="S5" s="1221" t="e">
        <f>INDEX(PT_DIFFERENTIATION_NUM_IST_TE,MATCH(D5,PT_DIFFERENTIATION_IST_TE_ID,0))</f>
        <v>#N/A</v>
      </c>
      <c r="T5" s="230" t="s">
        <v>1465</v>
      </c>
      <c r="U5" s="218"/>
      <c r="V5" s="2229"/>
      <c r="W5" s="2230"/>
      <c r="X5" s="2230"/>
      <c r="Y5" s="2230"/>
      <c r="Z5" s="2230"/>
      <c r="AA5" s="2230"/>
      <c r="AB5" s="2230"/>
      <c r="AC5" s="2231"/>
      <c r="AD5" s="2229" t="e">
        <f>INDEX(PT_DIFFERENTIATION_IST_TE,MATCH(D5,PT_DIFFERENTIATION_IST_TE_ID,0))</f>
        <v>#N/A</v>
      </c>
      <c r="AE5" s="2230"/>
      <c r="AF5" s="2230"/>
      <c r="AG5" s="2230"/>
      <c r="AH5" s="2230"/>
      <c r="AI5" s="2230"/>
      <c r="AJ5" s="2230"/>
      <c r="AK5" s="2230"/>
      <c r="AL5" s="2231"/>
      <c r="AM5" s="1140" t="s">
        <v>1466</v>
      </c>
      <c r="AO5" s="428"/>
      <c r="AP5" s="428" t="str">
        <f t="shared" si="0"/>
        <v xml:space="preserve">Источник тепловой энергии  </v>
      </c>
      <c r="AQ5" s="428"/>
      <c r="AR5" s="428"/>
    </row>
    <row r="6" spans="1:44" ht="14.25" hidden="1" customHeight="1">
      <c r="A6" s="1244"/>
      <c r="B6" s="1244"/>
      <c r="C6" s="1244"/>
      <c r="D6" s="1244"/>
      <c r="E6" s="2236"/>
      <c r="F6" s="2236"/>
      <c r="G6" s="2236"/>
      <c r="H6" s="2236"/>
      <c r="I6" s="2237" t="e">
        <f>S5&amp;".1"</f>
        <v>#N/A</v>
      </c>
      <c r="J6" s="1244"/>
      <c r="K6" s="1244"/>
      <c r="L6" s="1245" t="s">
        <v>1467</v>
      </c>
      <c r="M6" s="464"/>
      <c r="P6" s="2157">
        <v>1</v>
      </c>
      <c r="Q6" s="1216"/>
      <c r="R6" s="280"/>
      <c r="S6" s="932"/>
      <c r="T6" s="1263"/>
      <c r="U6" s="1264"/>
      <c r="V6" s="2263"/>
      <c r="W6" s="2264"/>
      <c r="X6" s="2264"/>
      <c r="Y6" s="2264"/>
      <c r="Z6" s="2264"/>
      <c r="AA6" s="2264"/>
      <c r="AB6" s="2264"/>
      <c r="AC6" s="2265"/>
      <c r="AD6" s="2263"/>
      <c r="AE6" s="2264"/>
      <c r="AF6" s="2264"/>
      <c r="AG6" s="2264"/>
      <c r="AH6" s="2264"/>
      <c r="AI6" s="2264"/>
      <c r="AJ6" s="2264"/>
      <c r="AK6" s="2264"/>
      <c r="AL6" s="2265"/>
      <c r="AM6" s="1265"/>
      <c r="AO6" s="428"/>
      <c r="AP6" s="428" t="str">
        <f t="shared" si="0"/>
        <v/>
      </c>
      <c r="AQ6" s="428"/>
      <c r="AR6" s="428"/>
    </row>
    <row r="7" spans="1:44" ht="21" hidden="1" customHeight="1">
      <c r="A7" s="1244"/>
      <c r="B7" s="1244"/>
      <c r="C7" s="1244"/>
      <c r="D7" s="1244"/>
      <c r="E7" s="2236"/>
      <c r="F7" s="2236"/>
      <c r="G7" s="2236"/>
      <c r="H7" s="2236"/>
      <c r="I7" s="2238"/>
      <c r="J7" s="2237" t="e">
        <f>I6&amp;".1"</f>
        <v>#N/A</v>
      </c>
      <c r="K7" s="1244"/>
      <c r="L7" s="1245" t="s">
        <v>1470</v>
      </c>
      <c r="M7" s="464"/>
      <c r="N7" s="1247"/>
      <c r="P7" s="2157"/>
      <c r="Q7" s="2157">
        <v>1</v>
      </c>
      <c r="R7" s="281"/>
      <c r="S7" s="1221" t="e">
        <f>$J7</f>
        <v>#N/A</v>
      </c>
      <c r="T7" s="204" t="s">
        <v>1471</v>
      </c>
      <c r="U7" s="218"/>
      <c r="V7" s="2224"/>
      <c r="W7" s="2225"/>
      <c r="X7" s="2225"/>
      <c r="Y7" s="2225"/>
      <c r="Z7" s="2225"/>
      <c r="AA7" s="2225"/>
      <c r="AB7" s="2225"/>
      <c r="AC7" s="2226"/>
      <c r="AD7" s="2224"/>
      <c r="AE7" s="2225"/>
      <c r="AF7" s="2225"/>
      <c r="AG7" s="2225"/>
      <c r="AH7" s="2225"/>
      <c r="AI7" s="2225"/>
      <c r="AJ7" s="2225"/>
      <c r="AK7" s="2225"/>
      <c r="AL7" s="2226"/>
      <c r="AM7" s="1140" t="s">
        <v>1472</v>
      </c>
      <c r="AO7" s="428"/>
      <c r="AP7" s="428" t="str">
        <f t="shared" si="0"/>
        <v>Группа потребителей</v>
      </c>
      <c r="AQ7" s="428"/>
      <c r="AR7" s="428"/>
    </row>
    <row r="8" spans="1:44" ht="21" hidden="1" customHeight="1">
      <c r="A8" s="1244"/>
      <c r="B8" s="1244"/>
      <c r="C8" s="1244"/>
      <c r="D8" s="1244"/>
      <c r="E8" s="2236"/>
      <c r="F8" s="2236"/>
      <c r="G8" s="2236"/>
      <c r="H8" s="2236"/>
      <c r="I8" s="2238"/>
      <c r="J8" s="2238"/>
      <c r="K8" s="2237" t="e">
        <f>J7&amp;".1"</f>
        <v>#N/A</v>
      </c>
      <c r="L8" s="1245" t="s">
        <v>1473</v>
      </c>
      <c r="M8" s="464"/>
      <c r="N8" s="1247"/>
      <c r="O8" s="1247"/>
      <c r="P8" s="2157"/>
      <c r="Q8" s="2157"/>
      <c r="R8" s="281">
        <v>1</v>
      </c>
      <c r="S8" s="1221" t="e">
        <f>$K8</f>
        <v>#N/A</v>
      </c>
      <c r="T8" s="1232"/>
      <c r="U8" s="218"/>
      <c r="V8" s="1667"/>
      <c r="W8" s="1668"/>
      <c r="X8" s="1667"/>
      <c r="Y8" s="1669"/>
      <c r="Z8" s="2239"/>
      <c r="AA8" s="2031" t="s">
        <v>66</v>
      </c>
      <c r="AB8" s="2239"/>
      <c r="AC8" s="2031" t="s">
        <v>66</v>
      </c>
      <c r="AD8" s="1667"/>
      <c r="AE8" s="1668"/>
      <c r="AF8" s="1667"/>
      <c r="AG8" s="1669"/>
      <c r="AH8" s="2239"/>
      <c r="AI8" s="2031" t="s">
        <v>66</v>
      </c>
      <c r="AJ8" s="2239"/>
      <c r="AK8" s="2031" t="s">
        <v>66</v>
      </c>
      <c r="AL8" s="1668"/>
      <c r="AM8" s="2257" t="s">
        <v>1474</v>
      </c>
      <c r="AN8" s="439" t="e">
        <f ca="1">STRCHECKDATE(V9:AL9)</f>
        <v>#NAME?</v>
      </c>
      <c r="AO8" s="428"/>
      <c r="AP8" s="428" t="str">
        <f t="shared" si="0"/>
        <v/>
      </c>
      <c r="AQ8" s="428"/>
      <c r="AR8" s="428"/>
    </row>
    <row r="9" spans="1:44" ht="0.75" hidden="1" customHeight="1">
      <c r="A9" s="1244"/>
      <c r="B9" s="1244"/>
      <c r="C9" s="1244"/>
      <c r="D9" s="1244"/>
      <c r="E9" s="2236"/>
      <c r="F9" s="2236"/>
      <c r="G9" s="2236"/>
      <c r="H9" s="2236"/>
      <c r="I9" s="2238"/>
      <c r="J9" s="2238"/>
      <c r="K9" s="2237"/>
      <c r="L9" s="1245"/>
      <c r="M9" s="464"/>
      <c r="N9" s="1247"/>
      <c r="O9" s="1247"/>
      <c r="P9" s="2157"/>
      <c r="Q9" s="2157"/>
      <c r="R9" s="281"/>
      <c r="S9" s="1227"/>
      <c r="T9" s="218"/>
      <c r="U9" s="218"/>
      <c r="V9" s="1668"/>
      <c r="W9" s="1668"/>
      <c r="X9" s="1668"/>
      <c r="Y9" s="1670" t="str">
        <f>Z8&amp;"-"&amp;AB8</f>
        <v>-</v>
      </c>
      <c r="Z9" s="2240"/>
      <c r="AA9" s="2031"/>
      <c r="AB9" s="2240"/>
      <c r="AC9" s="2031"/>
      <c r="AD9" s="1668"/>
      <c r="AE9" s="1668"/>
      <c r="AF9" s="1668"/>
      <c r="AG9" s="1670" t="str">
        <f>AH8&amp;"-"&amp;AJ8</f>
        <v>-</v>
      </c>
      <c r="AH9" s="2240"/>
      <c r="AI9" s="2031"/>
      <c r="AJ9" s="2240"/>
      <c r="AK9" s="2031"/>
      <c r="AL9" s="1668"/>
      <c r="AM9" s="2258"/>
      <c r="AO9" s="428"/>
      <c r="AP9" s="428" t="str">
        <f t="shared" si="0"/>
        <v/>
      </c>
      <c r="AQ9" s="428"/>
      <c r="AR9" s="428"/>
    </row>
    <row r="10" spans="1:44" ht="15" hidden="1" customHeight="1">
      <c r="A10" s="1244"/>
      <c r="B10" s="1244"/>
      <c r="C10" s="1244"/>
      <c r="D10" s="1244"/>
      <c r="E10" s="2236"/>
      <c r="F10" s="2236"/>
      <c r="G10" s="2236"/>
      <c r="H10" s="2236"/>
      <c r="I10" s="2238"/>
      <c r="J10" s="2237"/>
      <c r="K10" s="1244"/>
      <c r="L10" s="1245"/>
      <c r="M10" s="464"/>
      <c r="N10" s="1247"/>
      <c r="P10" s="2157"/>
      <c r="Q10" s="2157"/>
      <c r="R10" s="280"/>
      <c r="S10" s="1161"/>
      <c r="T10" s="205" t="s">
        <v>1475</v>
      </c>
      <c r="U10" s="294"/>
      <c r="V10" s="294"/>
      <c r="W10" s="294"/>
      <c r="X10" s="294"/>
      <c r="Y10" s="294"/>
      <c r="Z10" s="294"/>
      <c r="AA10" s="294"/>
      <c r="AB10" s="294"/>
      <c r="AC10" s="294"/>
      <c r="AD10" s="294"/>
      <c r="AE10" s="294"/>
      <c r="AF10" s="294"/>
      <c r="AG10" s="294"/>
      <c r="AH10" s="294"/>
      <c r="AI10" s="294"/>
      <c r="AJ10" s="294"/>
      <c r="AK10" s="294"/>
      <c r="AL10" s="251"/>
      <c r="AM10" s="2259"/>
      <c r="AO10" s="428"/>
      <c r="AP10" s="428" t="str">
        <f t="shared" si="0"/>
        <v>Добавить вид теплоносителя (параметры теплоносителя)</v>
      </c>
      <c r="AQ10" s="428"/>
      <c r="AR10" s="428"/>
    </row>
    <row r="11" spans="1:44" ht="15" hidden="1" customHeight="1">
      <c r="A11" s="1244"/>
      <c r="B11" s="1244"/>
      <c r="C11" s="1244"/>
      <c r="D11" s="1244"/>
      <c r="E11" s="2236"/>
      <c r="F11" s="2236"/>
      <c r="G11" s="2236"/>
      <c r="H11" s="2236"/>
      <c r="I11" s="2237"/>
      <c r="J11" s="1244"/>
      <c r="K11" s="1244"/>
      <c r="L11" s="1245"/>
      <c r="M11" s="464"/>
      <c r="P11" s="2157"/>
      <c r="Q11" s="1216"/>
      <c r="R11" s="280"/>
      <c r="S11" s="1161"/>
      <c r="T11" s="291" t="s">
        <v>1476</v>
      </c>
      <c r="U11" s="294"/>
      <c r="V11" s="294"/>
      <c r="W11" s="294"/>
      <c r="X11" s="294"/>
      <c r="Y11" s="294"/>
      <c r="Z11" s="294"/>
      <c r="AA11" s="294"/>
      <c r="AB11" s="294"/>
      <c r="AC11" s="293"/>
      <c r="AD11" s="294"/>
      <c r="AE11" s="294"/>
      <c r="AF11" s="294"/>
      <c r="AG11" s="294"/>
      <c r="AH11" s="294"/>
      <c r="AI11" s="294"/>
      <c r="AJ11" s="294"/>
      <c r="AK11" s="293"/>
      <c r="AL11" s="294"/>
      <c r="AM11" s="221"/>
      <c r="AO11" s="428"/>
      <c r="AP11" s="428" t="str">
        <f t="shared" si="0"/>
        <v>Добавить группу потребителей</v>
      </c>
      <c r="AQ11" s="428"/>
      <c r="AR11" s="428"/>
    </row>
    <row r="12" spans="1:44" ht="14.25" hidden="1" customHeight="1">
      <c r="A12" s="1244"/>
      <c r="B12" s="1244"/>
      <c r="C12" s="1244"/>
      <c r="D12" s="1244"/>
      <c r="E12" s="2236"/>
      <c r="F12" s="2236"/>
      <c r="G12" s="2236"/>
      <c r="H12" s="2235"/>
      <c r="I12" s="1244"/>
      <c r="J12" s="1244"/>
      <c r="K12" s="1244"/>
      <c r="L12" s="1245"/>
      <c r="M12" s="1246"/>
      <c r="N12" s="1246"/>
      <c r="O12" s="464"/>
      <c r="P12" s="284"/>
      <c r="Q12" s="303"/>
      <c r="R12" s="279"/>
      <c r="S12" s="1266"/>
      <c r="T12" s="1267"/>
      <c r="U12" s="1268"/>
      <c r="V12" s="1268"/>
      <c r="W12" s="1268"/>
      <c r="X12" s="1268"/>
      <c r="Y12" s="1268"/>
      <c r="Z12" s="1268"/>
      <c r="AA12" s="1268"/>
      <c r="AB12" s="1268"/>
      <c r="AC12" s="1268"/>
      <c r="AD12" s="1268"/>
      <c r="AE12" s="1268"/>
      <c r="AF12" s="1268"/>
      <c r="AG12" s="1268"/>
      <c r="AH12" s="1268"/>
      <c r="AI12" s="1268"/>
      <c r="AJ12" s="1268"/>
      <c r="AK12" s="1268"/>
      <c r="AL12" s="1268"/>
      <c r="AM12" s="1269"/>
      <c r="AO12" s="428"/>
      <c r="AP12" s="428" t="str">
        <f t="shared" si="0"/>
        <v/>
      </c>
      <c r="AQ12" s="428"/>
      <c r="AR12" s="428"/>
    </row>
    <row r="13" spans="1:44" s="1772" customFormat="1" ht="0.75" hidden="1" customHeight="1">
      <c r="A13" s="1200"/>
      <c r="B13" s="1200"/>
      <c r="C13" s="1200"/>
      <c r="D13" s="1200"/>
      <c r="E13" s="2236"/>
      <c r="F13" s="2236"/>
      <c r="G13" s="2235"/>
      <c r="H13" s="1200"/>
      <c r="I13" s="1200"/>
      <c r="J13" s="1200"/>
      <c r="K13" s="1200"/>
      <c r="L13" s="1224"/>
      <c r="M13" s="1201"/>
      <c r="N13" s="1201"/>
      <c r="P13" s="1202"/>
      <c r="Q13" s="1203"/>
      <c r="R13" s="1202"/>
      <c r="S13" s="1204"/>
      <c r="T13" s="1205" t="s">
        <v>1436</v>
      </c>
      <c r="U13" s="1206"/>
      <c r="V13" s="1206"/>
      <c r="W13" s="1206"/>
      <c r="X13" s="1206"/>
      <c r="Y13" s="1206"/>
      <c r="Z13" s="1206"/>
      <c r="AA13" s="1206"/>
      <c r="AB13" s="1206"/>
      <c r="AC13" s="1206"/>
      <c r="AD13" s="1206"/>
      <c r="AE13" s="1206"/>
      <c r="AF13" s="1206"/>
      <c r="AG13" s="1206"/>
      <c r="AH13" s="1206"/>
      <c r="AI13" s="1206"/>
      <c r="AJ13" s="1206"/>
      <c r="AK13" s="1206"/>
      <c r="AL13" s="1206"/>
      <c r="AM13" s="1206"/>
      <c r="AO13" s="696"/>
      <c r="AP13" s="696" t="str">
        <f t="shared" si="0"/>
        <v>Добавить источник для дифференциации</v>
      </c>
      <c r="AQ13" s="696"/>
      <c r="AR13" s="696"/>
    </row>
    <row r="14" spans="1:44" s="1772" customFormat="1" ht="0.75" hidden="1" customHeight="1">
      <c r="A14" s="1200"/>
      <c r="B14" s="1200"/>
      <c r="C14" s="1200"/>
      <c r="D14" s="1200"/>
      <c r="E14" s="2236"/>
      <c r="F14" s="2235"/>
      <c r="G14" s="1200"/>
      <c r="H14" s="1200"/>
      <c r="I14" s="1200"/>
      <c r="J14" s="1200"/>
      <c r="K14" s="1200"/>
      <c r="L14" s="1224"/>
      <c r="M14" s="1207"/>
      <c r="N14" s="1207"/>
      <c r="P14" s="1202"/>
      <c r="Q14" s="1203"/>
      <c r="R14" s="1202"/>
      <c r="S14" s="1208"/>
      <c r="T14" s="1209" t="s">
        <v>1437</v>
      </c>
      <c r="U14" s="1210"/>
      <c r="V14" s="1210"/>
      <c r="W14" s="1210"/>
      <c r="X14" s="1210"/>
      <c r="Y14" s="1210"/>
      <c r="Z14" s="1210"/>
      <c r="AA14" s="1210"/>
      <c r="AB14" s="1210"/>
      <c r="AC14" s="1210"/>
      <c r="AD14" s="1210"/>
      <c r="AE14" s="1210"/>
      <c r="AF14" s="1210"/>
      <c r="AG14" s="1210"/>
      <c r="AH14" s="1210"/>
      <c r="AI14" s="1210"/>
      <c r="AJ14" s="1210"/>
      <c r="AK14" s="1210"/>
      <c r="AL14" s="1210"/>
      <c r="AM14" s="1210"/>
      <c r="AO14" s="696"/>
      <c r="AP14" s="696" t="str">
        <f t="shared" si="0"/>
        <v>Добавить централизованную систему для дифференциации</v>
      </c>
      <c r="AQ14" s="696"/>
      <c r="AR14" s="696"/>
    </row>
    <row r="15" spans="1:44" s="1772" customFormat="1" ht="0.75" hidden="1" customHeight="1">
      <c r="A15" s="1200"/>
      <c r="B15" s="1200"/>
      <c r="C15" s="1200"/>
      <c r="D15" s="1200"/>
      <c r="E15" s="2235"/>
      <c r="F15" s="1200"/>
      <c r="G15" s="1200"/>
      <c r="H15" s="1200"/>
      <c r="I15" s="1200"/>
      <c r="J15" s="1200"/>
      <c r="K15" s="1200"/>
      <c r="L15" s="1224"/>
      <c r="M15" s="1207"/>
      <c r="N15" s="1207"/>
      <c r="P15" s="1202"/>
      <c r="Q15" s="1203"/>
      <c r="R15" s="1202"/>
      <c r="S15" s="1208"/>
      <c r="T15" s="1211" t="s">
        <v>1438</v>
      </c>
      <c r="U15" s="1210"/>
      <c r="V15" s="1210"/>
      <c r="W15" s="1210"/>
      <c r="X15" s="1210"/>
      <c r="Y15" s="1210"/>
      <c r="Z15" s="1210"/>
      <c r="AA15" s="1210"/>
      <c r="AB15" s="1210"/>
      <c r="AC15" s="1210"/>
      <c r="AD15" s="1210"/>
      <c r="AE15" s="1210"/>
      <c r="AF15" s="1210"/>
      <c r="AG15" s="1210"/>
      <c r="AH15" s="1210"/>
      <c r="AI15" s="1210"/>
      <c r="AJ15" s="1210"/>
      <c r="AK15" s="1210"/>
      <c r="AL15" s="1210"/>
      <c r="AM15" s="1210"/>
      <c r="AO15" s="696"/>
      <c r="AP15" s="696" t="str">
        <f t="shared" si="0"/>
        <v>Добавить территорию для дифференциации</v>
      </c>
      <c r="AQ15" s="696"/>
      <c r="AR15" s="696"/>
    </row>
    <row r="16" spans="1:44" ht="14.25" hidden="1" customHeight="1">
      <c r="AC16" s="254"/>
      <c r="AK16" s="254"/>
    </row>
    <row r="17" spans="1:44" ht="14.25" hidden="1" customHeight="1">
      <c r="AD17" s="1671"/>
      <c r="AE17" s="1671"/>
      <c r="AF17" s="1671"/>
      <c r="AG17" s="1672"/>
      <c r="AH17" s="2233"/>
      <c r="AI17" s="2232" t="s">
        <v>66</v>
      </c>
      <c r="AJ17" s="2233"/>
      <c r="AK17" s="2232" t="s">
        <v>66</v>
      </c>
    </row>
    <row r="18" spans="1:44" ht="14.25" hidden="1" customHeight="1">
      <c r="AD18" s="1671"/>
      <c r="AE18" s="1671"/>
      <c r="AF18" s="1671"/>
      <c r="AG18" s="1670" t="str">
        <f>AH17&amp;"-"&amp;AJ17</f>
        <v>-</v>
      </c>
      <c r="AH18" s="2232"/>
      <c r="AI18" s="2232"/>
      <c r="AJ18" s="2232"/>
      <c r="AK18" s="2232"/>
    </row>
    <row r="19" spans="1:44" ht="14.25" hidden="1" customHeight="1">
      <c r="AK19" s="254"/>
    </row>
    <row r="20" spans="1:44" s="1759" customFormat="1" ht="22.5" hidden="1" customHeight="1">
      <c r="L20" s="1214"/>
      <c r="M20" s="1243"/>
      <c r="N20" s="1243"/>
      <c r="O20" s="1248" t="s">
        <v>1478</v>
      </c>
      <c r="P20" s="1243"/>
      <c r="Q20" s="1252"/>
      <c r="R20" s="1252"/>
      <c r="S20" s="644"/>
      <c r="Z20" s="1248"/>
      <c r="AB20" s="1248"/>
      <c r="AC20" s="1247"/>
      <c r="AH20" s="1248"/>
      <c r="AJ20" s="1248"/>
      <c r="AK20" s="1247"/>
      <c r="AN20" s="439"/>
      <c r="AO20" s="439"/>
      <c r="AP20" s="439"/>
      <c r="AQ20" s="439"/>
      <c r="AR20" s="439"/>
    </row>
    <row r="21" spans="1:44" s="1759" customFormat="1" ht="14.25" hidden="1" customHeight="1">
      <c r="L21" s="1214"/>
      <c r="M21" s="1243"/>
      <c r="N21" s="1243"/>
      <c r="O21" s="1243"/>
      <c r="P21" s="1243"/>
      <c r="Q21" s="1252"/>
      <c r="R21" s="1252"/>
      <c r="S21" s="644"/>
      <c r="AC21" s="1247"/>
      <c r="AK21" s="1247"/>
      <c r="AN21" s="439"/>
      <c r="AO21" s="439"/>
      <c r="AP21" s="439"/>
      <c r="AQ21" s="439"/>
      <c r="AR21" s="439"/>
    </row>
    <row r="22" spans="1:44" s="1759" customFormat="1" ht="14.25" hidden="1" customHeight="1">
      <c r="L22" s="1214"/>
      <c r="M22" s="1243"/>
      <c r="N22" s="1243"/>
      <c r="O22" s="1245" t="s">
        <v>1479</v>
      </c>
      <c r="P22" s="1243"/>
      <c r="Q22" s="1252"/>
      <c r="R22" s="1252"/>
      <c r="S22" s="644"/>
      <c r="T22" s="1036" t="s">
        <v>1480</v>
      </c>
      <c r="AA22" s="111" t="s">
        <v>1481</v>
      </c>
      <c r="AC22" s="111" t="s">
        <v>1482</v>
      </c>
      <c r="AD22" s="1036" t="s">
        <v>1480</v>
      </c>
      <c r="AI22" s="111" t="s">
        <v>1483</v>
      </c>
      <c r="AK22" s="111" t="s">
        <v>1482</v>
      </c>
      <c r="AN22" s="439"/>
      <c r="AO22" s="439"/>
      <c r="AP22" s="439"/>
      <c r="AQ22" s="439"/>
      <c r="AR22" s="439"/>
    </row>
    <row r="23" spans="1:44" ht="14.25" hidden="1" customHeight="1">
      <c r="O23" s="1245"/>
    </row>
    <row r="24" spans="1:44" ht="14.25" hidden="1" customHeight="1">
      <c r="O24" s="1245"/>
    </row>
    <row r="25" spans="1:44" ht="14.25" customHeight="1">
      <c r="Q25" s="304"/>
      <c r="R25" s="304"/>
      <c r="S25" s="1158"/>
      <c r="T25" s="289"/>
      <c r="U25" s="289"/>
      <c r="V25" s="437"/>
      <c r="W25" s="437"/>
      <c r="X25" s="437"/>
      <c r="Y25" s="437"/>
      <c r="Z25" s="437"/>
      <c r="AA25" s="437"/>
      <c r="AB25" s="437"/>
      <c r="AC25" s="437"/>
      <c r="AD25" s="437"/>
      <c r="AE25" s="437"/>
      <c r="AF25" s="437"/>
      <c r="AG25" s="437"/>
      <c r="AH25" s="437"/>
      <c r="AI25" s="437"/>
      <c r="AJ25" s="437"/>
      <c r="AK25" s="437"/>
    </row>
    <row r="26" spans="1:44" ht="64.5" customHeight="1">
      <c r="Q26" s="304"/>
      <c r="R26" s="304"/>
      <c r="S26" s="2079" t="str">
        <f>IF(TEMPLATE_GROUP="P",PT_P_FORM_HEAT_5_NAME_FORM,PT_R_FORM_HEAT_22_NAME_FORM)</f>
        <v>Форма 22. Информация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"О теплоснабжении" &lt;1&gt;</v>
      </c>
      <c r="T26" s="2079"/>
      <c r="U26" s="2079"/>
      <c r="V26" s="2079"/>
      <c r="W26" s="2079"/>
      <c r="X26" s="2079"/>
      <c r="Y26" s="2079"/>
      <c r="Z26" s="2079"/>
      <c r="AA26" s="2079"/>
      <c r="AB26" s="2079"/>
      <c r="AC26" s="2079"/>
      <c r="AD26" s="2079"/>
      <c r="AE26" s="2079"/>
      <c r="AF26" s="2079"/>
      <c r="AG26" s="2079"/>
      <c r="AH26" s="2079"/>
      <c r="AI26" s="2079"/>
      <c r="AJ26" s="2079"/>
      <c r="AK26" s="1116"/>
    </row>
    <row r="27" spans="1:44" ht="14.25" customHeight="1">
      <c r="Q27" s="304"/>
      <c r="R27" s="304"/>
      <c r="S27" s="2102" t="str">
        <f>IF(org=0,"Не определено",org)</f>
        <v>ООО "Автозаводская ТЭЦ"</v>
      </c>
      <c r="T27" s="2102"/>
      <c r="U27" s="2102"/>
      <c r="V27" s="2102"/>
      <c r="W27" s="2102"/>
      <c r="X27" s="2102"/>
      <c r="Y27" s="2102"/>
      <c r="Z27" s="2102"/>
      <c r="AA27" s="2102"/>
      <c r="AB27" s="2102"/>
      <c r="AC27" s="2102"/>
      <c r="AD27" s="2102"/>
      <c r="AE27" s="2102"/>
      <c r="AF27" s="2102"/>
      <c r="AG27" s="2102"/>
      <c r="AH27" s="2102"/>
      <c r="AI27" s="2102"/>
      <c r="AJ27" s="2102"/>
      <c r="AK27" s="1116"/>
    </row>
    <row r="28" spans="1:44" ht="14.25" hidden="1" customHeight="1">
      <c r="Q28" s="304"/>
      <c r="R28" s="304"/>
      <c r="S28" s="1158"/>
      <c r="T28" s="289"/>
      <c r="U28" s="289"/>
      <c r="V28" s="248"/>
      <c r="W28" s="248"/>
      <c r="X28" s="248"/>
      <c r="Y28" s="248"/>
      <c r="Z28" s="248"/>
      <c r="AA28" s="248"/>
      <c r="AB28" s="248"/>
      <c r="AC28" s="248"/>
      <c r="AD28" s="248"/>
      <c r="AE28" s="248"/>
      <c r="AF28" s="248"/>
      <c r="AG28" s="248"/>
      <c r="AH28" s="248"/>
      <c r="AI28" s="248"/>
      <c r="AJ28" s="248"/>
      <c r="AK28" s="248"/>
      <c r="AL28" s="437"/>
    </row>
    <row r="29" spans="1:44" s="1950" customFormat="1" ht="25.5" hidden="1" customHeight="1">
      <c r="A29" s="1249"/>
      <c r="B29" s="1249"/>
      <c r="C29" s="1249"/>
      <c r="D29" s="1249"/>
      <c r="E29" s="1249"/>
      <c r="F29" s="1249"/>
      <c r="G29" s="1249"/>
      <c r="H29" s="1249"/>
      <c r="I29" s="1249"/>
      <c r="J29" s="1249"/>
      <c r="K29" s="1249"/>
      <c r="L29" s="1250"/>
      <c r="M29" s="1249"/>
      <c r="N29" s="1249"/>
      <c r="O29" s="1249"/>
      <c r="S29" s="2227" t="s">
        <v>38</v>
      </c>
      <c r="T29" s="2227"/>
      <c r="U29" s="1253"/>
      <c r="V29" s="2228" t="str">
        <f>IF(TITLE_NAME_OR_PR_CHANGE="",IF(TITLE_NAME_OR_PR="","",TITLE_NAME_OR_PR),TITLE_NAME_OR_PR_CHANGE)</f>
        <v/>
      </c>
      <c r="W29" s="2228"/>
      <c r="X29" s="2228"/>
      <c r="Y29" s="2228"/>
      <c r="Z29" s="2228"/>
      <c r="AA29" s="2228"/>
      <c r="AB29" s="2228"/>
      <c r="AC29" s="253"/>
      <c r="AD29" s="2228" t="str">
        <f>IF(TITLE_NAME_OR_PR_CHANGE="",IF(TITLE_NAME_OR_PR="","",TITLE_NAME_OR_PR),TITLE_NAME_OR_PR_CHANGE)</f>
        <v/>
      </c>
      <c r="AE29" s="2228"/>
      <c r="AF29" s="2228"/>
      <c r="AG29" s="2228"/>
      <c r="AH29" s="2228"/>
      <c r="AI29" s="2228"/>
      <c r="AJ29" s="2228"/>
      <c r="AK29" s="253"/>
      <c r="AL29" s="253"/>
      <c r="AM29" s="199"/>
      <c r="AN29" s="295"/>
      <c r="AO29" s="295"/>
      <c r="AP29" s="295"/>
      <c r="AQ29" s="295"/>
      <c r="AR29" s="295"/>
    </row>
    <row r="30" spans="1:44" s="1950" customFormat="1" ht="18.75" hidden="1" customHeight="1">
      <c r="A30" s="1249"/>
      <c r="B30" s="1249"/>
      <c r="C30" s="1249"/>
      <c r="D30" s="1249"/>
      <c r="E30" s="1249"/>
      <c r="F30" s="1249"/>
      <c r="G30" s="1249"/>
      <c r="H30" s="1249"/>
      <c r="I30" s="1249"/>
      <c r="J30" s="1249"/>
      <c r="K30" s="1249"/>
      <c r="L30" s="1250"/>
      <c r="M30" s="1249"/>
      <c r="N30" s="1249"/>
      <c r="O30" s="1249"/>
      <c r="S30" s="2227" t="s">
        <v>1484</v>
      </c>
      <c r="T30" s="2227"/>
      <c r="U30" s="1253"/>
      <c r="V30" s="2228" t="str">
        <f>IF(TITLE_DATE_CHANGE_PERIOD="",IF(TITLE_DATE_PR="","",TITLE_DATE_PR),TITLE_DATE_CHANGE_PERIOD)</f>
        <v/>
      </c>
      <c r="W30" s="2228"/>
      <c r="X30" s="2228"/>
      <c r="Y30" s="2228"/>
      <c r="Z30" s="2228"/>
      <c r="AA30" s="2228"/>
      <c r="AB30" s="2228"/>
      <c r="AC30" s="253"/>
      <c r="AD30" s="2228" t="str">
        <f>IF(TITLE_DATE_CHANGE_PERIOD="",IF(TITLE_DATE_PR="","",TITLE_DATE_PR),TITLE_DATE_CHANGE_PERIOD)</f>
        <v/>
      </c>
      <c r="AE30" s="2228"/>
      <c r="AF30" s="2228"/>
      <c r="AG30" s="2228"/>
      <c r="AH30" s="2228"/>
      <c r="AI30" s="2228"/>
      <c r="AJ30" s="2228"/>
      <c r="AK30" s="253"/>
      <c r="AL30" s="253"/>
      <c r="AM30" s="199"/>
      <c r="AN30" s="295"/>
      <c r="AO30" s="295"/>
      <c r="AP30" s="295"/>
      <c r="AQ30" s="295"/>
      <c r="AR30" s="295"/>
    </row>
    <row r="31" spans="1:44" s="1950" customFormat="1" ht="18.75" hidden="1" customHeight="1">
      <c r="A31" s="1249"/>
      <c r="B31" s="1249"/>
      <c r="C31" s="1249"/>
      <c r="D31" s="1249"/>
      <c r="E31" s="1249"/>
      <c r="F31" s="1249"/>
      <c r="G31" s="1249"/>
      <c r="H31" s="1249"/>
      <c r="I31" s="1249"/>
      <c r="J31" s="1249"/>
      <c r="K31" s="1249"/>
      <c r="L31" s="1250"/>
      <c r="M31" s="1249"/>
      <c r="N31" s="1249"/>
      <c r="O31" s="1249"/>
      <c r="S31" s="2227" t="s">
        <v>1485</v>
      </c>
      <c r="T31" s="2227"/>
      <c r="U31" s="1253"/>
      <c r="V31" s="2228" t="str">
        <f>IF(TITLE_NUMBER_PR_CHANGE="",IF(TITLE_NUMBER_PR="","",TITLE_NUMBER_PR),TITLE_NUMBER_PR_CHANGE)</f>
        <v/>
      </c>
      <c r="W31" s="2228"/>
      <c r="X31" s="2228"/>
      <c r="Y31" s="2228"/>
      <c r="Z31" s="2228"/>
      <c r="AA31" s="2228"/>
      <c r="AB31" s="2228"/>
      <c r="AC31" s="253"/>
      <c r="AD31" s="2228" t="str">
        <f>IF(TITLE_NUMBER_PR_CHANGE="",IF(TITLE_NUMBER_PR="","",TITLE_NUMBER_PR),TITLE_NUMBER_PR_CHANGE)</f>
        <v/>
      </c>
      <c r="AE31" s="2228"/>
      <c r="AF31" s="2228"/>
      <c r="AG31" s="2228"/>
      <c r="AH31" s="2228"/>
      <c r="AI31" s="2228"/>
      <c r="AJ31" s="2228"/>
      <c r="AK31" s="253"/>
      <c r="AL31" s="253"/>
      <c r="AM31" s="199"/>
      <c r="AN31" s="295"/>
      <c r="AO31" s="295"/>
      <c r="AP31" s="295"/>
      <c r="AQ31" s="295"/>
      <c r="AR31" s="295"/>
    </row>
    <row r="32" spans="1:44" s="1950" customFormat="1" ht="18.75" hidden="1" customHeight="1">
      <c r="A32" s="1249"/>
      <c r="B32" s="1249"/>
      <c r="C32" s="1249"/>
      <c r="D32" s="1249"/>
      <c r="E32" s="1249"/>
      <c r="F32" s="1249"/>
      <c r="G32" s="1249"/>
      <c r="H32" s="1249"/>
      <c r="I32" s="1249"/>
      <c r="J32" s="1249"/>
      <c r="K32" s="1249"/>
      <c r="L32" s="1250"/>
      <c r="M32" s="1249"/>
      <c r="N32" s="1249"/>
      <c r="O32" s="1249"/>
      <c r="S32" s="2227" t="s">
        <v>39</v>
      </c>
      <c r="T32" s="2227"/>
      <c r="U32" s="1253"/>
      <c r="V32" s="2228" t="str">
        <f>IF(TITLE_IST_PUB_CHANGE="",IF(TITLE_IST_PUB="","",TITLE_IST_PUB),TITLE_IST_PUB_CHANGE)</f>
        <v/>
      </c>
      <c r="W32" s="2228"/>
      <c r="X32" s="2228"/>
      <c r="Y32" s="2228"/>
      <c r="Z32" s="2228"/>
      <c r="AA32" s="2228"/>
      <c r="AB32" s="2228"/>
      <c r="AC32" s="253"/>
      <c r="AD32" s="2228" t="str">
        <f>IF(TITLE_IST_PUB_CHANGE="",IF(TITLE_IST_PUB="","",TITLE_IST_PUB),TITLE_IST_PUB_CHANGE)</f>
        <v/>
      </c>
      <c r="AE32" s="2228"/>
      <c r="AF32" s="2228"/>
      <c r="AG32" s="2228"/>
      <c r="AH32" s="2228"/>
      <c r="AI32" s="2228"/>
      <c r="AJ32" s="2228"/>
      <c r="AK32" s="253"/>
      <c r="AL32" s="253"/>
      <c r="AM32" s="199"/>
      <c r="AN32" s="295"/>
      <c r="AO32" s="295"/>
      <c r="AP32" s="295"/>
      <c r="AQ32" s="295"/>
      <c r="AR32" s="295"/>
    </row>
    <row r="33" spans="1:44" ht="14.25" hidden="1" customHeight="1">
      <c r="Q33" s="304"/>
      <c r="R33" s="304"/>
      <c r="S33" s="1158"/>
      <c r="T33" s="289"/>
      <c r="U33" s="289"/>
      <c r="V33" s="248"/>
      <c r="W33" s="248"/>
      <c r="X33" s="248"/>
      <c r="Y33" s="248"/>
      <c r="Z33" s="248"/>
      <c r="AA33" s="248"/>
      <c r="AB33" s="248"/>
      <c r="AC33" s="248"/>
      <c r="AD33" s="248"/>
      <c r="AE33" s="248"/>
      <c r="AF33" s="248"/>
      <c r="AG33" s="248"/>
      <c r="AH33" s="248"/>
      <c r="AI33" s="248"/>
      <c r="AJ33" s="248"/>
      <c r="AK33" s="248"/>
      <c r="AL33" s="437"/>
    </row>
    <row r="34" spans="1:44" s="1950" customFormat="1" ht="18.75" hidden="1" customHeight="1">
      <c r="A34" s="1249"/>
      <c r="B34" s="1249"/>
      <c r="C34" s="1249"/>
      <c r="D34" s="1249"/>
      <c r="E34" s="1249"/>
      <c r="F34" s="1249"/>
      <c r="G34" s="1249"/>
      <c r="H34" s="1249"/>
      <c r="I34" s="1249"/>
      <c r="J34" s="1249"/>
      <c r="K34" s="1249"/>
      <c r="L34" s="1250"/>
      <c r="M34" s="1249"/>
      <c r="N34" s="1249"/>
      <c r="O34" s="1249"/>
      <c r="S34" s="2227" t="s">
        <v>1486</v>
      </c>
      <c r="T34" s="2227"/>
      <c r="U34" s="1253"/>
      <c r="V34" s="2228" t="str">
        <f>IF(TITLE_DATE_CHANGE_PERIOD="",IF(TITLE_DATE_PR="","",TITLE_DATE_PR),TITLE_DATE_CHANGE_PERIOD)</f>
        <v/>
      </c>
      <c r="W34" s="2228"/>
      <c r="X34" s="2228"/>
      <c r="Y34" s="2228"/>
      <c r="Z34" s="2228"/>
      <c r="AA34" s="2228"/>
      <c r="AB34" s="2228"/>
      <c r="AC34" s="253"/>
      <c r="AD34" s="2228" t="str">
        <f>IF(TITLE_DATE_CHANGE_PERIOD="",IF(TITLE_DATE_PR="","",TITLE_DATE_PR),TITLE_DATE_CHANGE_PERIOD)</f>
        <v/>
      </c>
      <c r="AE34" s="2228"/>
      <c r="AF34" s="2228"/>
      <c r="AG34" s="2228"/>
      <c r="AH34" s="2228"/>
      <c r="AI34" s="2228"/>
      <c r="AJ34" s="2228"/>
      <c r="AK34" s="253"/>
      <c r="AL34" s="253"/>
      <c r="AM34" s="199"/>
      <c r="AN34" s="295"/>
      <c r="AO34" s="295"/>
      <c r="AP34" s="295"/>
      <c r="AQ34" s="295"/>
      <c r="AR34" s="295"/>
    </row>
    <row r="35" spans="1:44" s="1950" customFormat="1" ht="25.5" hidden="1" customHeight="1">
      <c r="A35" s="1249"/>
      <c r="B35" s="1249"/>
      <c r="C35" s="1249"/>
      <c r="D35" s="1249"/>
      <c r="E35" s="1249"/>
      <c r="F35" s="1249"/>
      <c r="G35" s="1249"/>
      <c r="H35" s="1249"/>
      <c r="I35" s="1249"/>
      <c r="J35" s="1249"/>
      <c r="K35" s="1249"/>
      <c r="L35" s="1250"/>
      <c r="M35" s="1249"/>
      <c r="N35" s="1249"/>
      <c r="O35" s="1249"/>
      <c r="S35" s="2227" t="s">
        <v>1487</v>
      </c>
      <c r="T35" s="2227"/>
      <c r="U35" s="1253"/>
      <c r="V35" s="2228" t="str">
        <f>IF(TITLE_NUMBER_PR_CHANGE="",IF(TITLE_NUMBER_PR="","",TITLE_NUMBER_PR),TITLE_NUMBER_PR_CHANGE)</f>
        <v/>
      </c>
      <c r="W35" s="2228"/>
      <c r="X35" s="2228"/>
      <c r="Y35" s="2228"/>
      <c r="Z35" s="2228"/>
      <c r="AA35" s="2228"/>
      <c r="AB35" s="2228"/>
      <c r="AC35" s="253"/>
      <c r="AD35" s="2228" t="str">
        <f>IF(TITLE_NUMBER_PR_CHANGE="",IF(TITLE_NUMBER_PR="","",TITLE_NUMBER_PR),TITLE_NUMBER_PR_CHANGE)</f>
        <v/>
      </c>
      <c r="AE35" s="2228"/>
      <c r="AF35" s="2228"/>
      <c r="AG35" s="2228"/>
      <c r="AH35" s="2228"/>
      <c r="AI35" s="2228"/>
      <c r="AJ35" s="2228"/>
      <c r="AK35" s="253"/>
      <c r="AL35" s="253"/>
      <c r="AM35" s="199"/>
      <c r="AN35" s="295"/>
      <c r="AO35" s="295"/>
      <c r="AP35" s="295"/>
      <c r="AQ35" s="295"/>
      <c r="AR35" s="295"/>
    </row>
    <row r="36" spans="1:44" s="1950" customFormat="1" ht="0" hidden="1" customHeight="1">
      <c r="A36" s="1249"/>
      <c r="B36" s="1249"/>
      <c r="C36" s="1249"/>
      <c r="D36" s="1249"/>
      <c r="E36" s="1249"/>
      <c r="F36" s="1249"/>
      <c r="G36" s="1249"/>
      <c r="H36" s="1249"/>
      <c r="I36" s="1249"/>
      <c r="J36" s="1249"/>
      <c r="K36" s="1249"/>
      <c r="L36" s="1250"/>
      <c r="M36" s="1249"/>
      <c r="N36" s="1249"/>
      <c r="O36" s="1249"/>
      <c r="S36" s="250"/>
      <c r="T36" s="250"/>
      <c r="U36" s="1225"/>
      <c r="V36" s="253"/>
      <c r="W36" s="253"/>
      <c r="X36" s="253"/>
      <c r="Y36" s="253"/>
      <c r="Z36" s="253"/>
      <c r="AA36" s="253"/>
      <c r="AB36" s="253"/>
      <c r="AC36" s="197" t="s">
        <v>1488</v>
      </c>
      <c r="AD36" s="253"/>
      <c r="AE36" s="253"/>
      <c r="AF36" s="253"/>
      <c r="AG36" s="253"/>
      <c r="AH36" s="253"/>
      <c r="AI36" s="253"/>
      <c r="AJ36" s="253"/>
      <c r="AK36" s="197" t="s">
        <v>1488</v>
      </c>
      <c r="AN36" s="295"/>
      <c r="AO36" s="295"/>
      <c r="AP36" s="295"/>
      <c r="AQ36" s="295"/>
      <c r="AR36" s="295"/>
    </row>
    <row r="37" spans="1:44" ht="14.25" customHeight="1">
      <c r="Q37" s="304"/>
      <c r="R37" s="304"/>
      <c r="S37" s="1158"/>
      <c r="T37" s="289"/>
      <c r="U37" s="1117"/>
      <c r="V37" s="2246"/>
      <c r="W37" s="2246"/>
      <c r="X37" s="2246"/>
      <c r="Y37" s="2246"/>
      <c r="Z37" s="2246"/>
      <c r="AA37" s="2246"/>
      <c r="AB37" s="2246"/>
      <c r="AC37" s="2246"/>
      <c r="AD37" s="2246"/>
      <c r="AE37" s="2246"/>
      <c r="AF37" s="2246"/>
      <c r="AG37" s="2246"/>
      <c r="AH37" s="2246"/>
      <c r="AI37" s="2246"/>
      <c r="AJ37" s="2246"/>
      <c r="AK37" s="2246"/>
    </row>
    <row r="38" spans="1:44" ht="14.25" customHeight="1">
      <c r="Q38" s="304"/>
      <c r="R38" s="304"/>
      <c r="S38" s="2021" t="s">
        <v>292</v>
      </c>
      <c r="T38" s="2021"/>
      <c r="U38" s="2021"/>
      <c r="V38" s="2021"/>
      <c r="W38" s="2021"/>
      <c r="X38" s="2021"/>
      <c r="Y38" s="2021"/>
      <c r="Z38" s="2021"/>
      <c r="AA38" s="2021"/>
      <c r="AB38" s="2021"/>
      <c r="AC38" s="2021"/>
      <c r="AD38" s="2021"/>
      <c r="AE38" s="2021"/>
      <c r="AF38" s="2021"/>
      <c r="AG38" s="2021"/>
      <c r="AH38" s="2021"/>
      <c r="AI38" s="2021"/>
      <c r="AJ38" s="2021"/>
      <c r="AK38" s="2021"/>
      <c r="AL38" s="2021"/>
      <c r="AM38" s="2021" t="s">
        <v>293</v>
      </c>
    </row>
    <row r="39" spans="1:44" ht="14.25" customHeight="1">
      <c r="Q39" s="304"/>
      <c r="R39" s="304"/>
      <c r="S39" s="2247" t="s">
        <v>88</v>
      </c>
      <c r="T39" s="2111" t="s">
        <v>1489</v>
      </c>
      <c r="U39" s="219"/>
      <c r="V39" s="2248" t="s">
        <v>1490</v>
      </c>
      <c r="W39" s="2249"/>
      <c r="X39" s="2249"/>
      <c r="Y39" s="2249"/>
      <c r="Z39" s="2249"/>
      <c r="AA39" s="2249"/>
      <c r="AB39" s="2250"/>
      <c r="AC39" s="2251" t="s">
        <v>1491</v>
      </c>
      <c r="AD39" s="2248" t="s">
        <v>1490</v>
      </c>
      <c r="AE39" s="2249"/>
      <c r="AF39" s="2249"/>
      <c r="AG39" s="2249"/>
      <c r="AH39" s="2249"/>
      <c r="AI39" s="2249"/>
      <c r="AJ39" s="2250"/>
      <c r="AK39" s="2251" t="s">
        <v>1492</v>
      </c>
      <c r="AL39" s="2254" t="s">
        <v>1493</v>
      </c>
      <c r="AM39" s="2021"/>
    </row>
    <row r="40" spans="1:44" ht="33.75" customHeight="1">
      <c r="Q40" s="304"/>
      <c r="R40" s="304"/>
      <c r="S40" s="2247"/>
      <c r="T40" s="2111"/>
      <c r="U40" s="924"/>
      <c r="V40" s="2080" t="s">
        <v>1494</v>
      </c>
      <c r="W40" s="2243"/>
      <c r="X40" s="2003" t="s">
        <v>1496</v>
      </c>
      <c r="Y40" s="2002"/>
      <c r="Z40" s="2003" t="s">
        <v>1497</v>
      </c>
      <c r="AA40" s="2008"/>
      <c r="AB40" s="2002"/>
      <c r="AC40" s="2252"/>
      <c r="AD40" s="2080" t="s">
        <v>1494</v>
      </c>
      <c r="AE40" s="2243"/>
      <c r="AF40" s="2003" t="s">
        <v>1496</v>
      </c>
      <c r="AG40" s="2002"/>
      <c r="AH40" s="2003" t="s">
        <v>1497</v>
      </c>
      <c r="AI40" s="2008"/>
      <c r="AJ40" s="2002"/>
      <c r="AK40" s="2252"/>
      <c r="AL40" s="2255"/>
      <c r="AM40" s="2021"/>
    </row>
    <row r="41" spans="1:44" ht="33.75" customHeight="1">
      <c r="A41" s="1251"/>
      <c r="B41" s="1251" t="s">
        <v>136</v>
      </c>
      <c r="C41" s="1251" t="s">
        <v>137</v>
      </c>
      <c r="D41" s="1251" t="s">
        <v>138</v>
      </c>
      <c r="E41" s="1245" t="s">
        <v>1498</v>
      </c>
      <c r="F41" s="1245" t="s">
        <v>1499</v>
      </c>
      <c r="G41" s="1245" t="s">
        <v>1500</v>
      </c>
      <c r="H41" s="1245" t="s">
        <v>1501</v>
      </c>
      <c r="I41" s="1245" t="s">
        <v>1502</v>
      </c>
      <c r="J41" s="1245" t="s">
        <v>1503</v>
      </c>
      <c r="K41" s="1245" t="s">
        <v>1504</v>
      </c>
      <c r="L41" s="1245" t="s">
        <v>1479</v>
      </c>
      <c r="Q41" s="304"/>
      <c r="R41" s="304"/>
      <c r="S41" s="2247"/>
      <c r="T41" s="2111"/>
      <c r="U41" s="220"/>
      <c r="V41" s="2136"/>
      <c r="W41" s="2244"/>
      <c r="X41" s="1092" t="s">
        <v>1505</v>
      </c>
      <c r="Y41" s="1092" t="s">
        <v>1506</v>
      </c>
      <c r="Z41" s="1223" t="s">
        <v>1507</v>
      </c>
      <c r="AA41" s="2117" t="s">
        <v>1508</v>
      </c>
      <c r="AB41" s="2131"/>
      <c r="AC41" s="2253"/>
      <c r="AD41" s="2136"/>
      <c r="AE41" s="2244"/>
      <c r="AF41" s="1092" t="s">
        <v>1505</v>
      </c>
      <c r="AG41" s="1092" t="s">
        <v>1506</v>
      </c>
      <c r="AH41" s="1223" t="s">
        <v>1507</v>
      </c>
      <c r="AI41" s="2117" t="s">
        <v>1508</v>
      </c>
      <c r="AJ41" s="2131"/>
      <c r="AK41" s="2253"/>
      <c r="AL41" s="2256"/>
      <c r="AM41" s="2021"/>
    </row>
    <row r="42" spans="1:44" s="1720" customFormat="1" ht="11.25" hidden="1" customHeight="1">
      <c r="A42" s="1251"/>
      <c r="B42" s="1251"/>
      <c r="C42" s="1251"/>
      <c r="D42" s="1251"/>
      <c r="E42" s="1251"/>
      <c r="F42" s="1251"/>
      <c r="G42" s="1251"/>
      <c r="H42" s="1251"/>
      <c r="I42" s="1251"/>
      <c r="J42" s="1251"/>
      <c r="K42" s="1251"/>
      <c r="L42" s="1245"/>
      <c r="M42" s="1243"/>
      <c r="N42" s="1243"/>
      <c r="O42" s="1243"/>
      <c r="P42" s="1119"/>
      <c r="Q42" s="1120"/>
      <c r="R42" s="1135">
        <v>1</v>
      </c>
      <c r="S42" s="1160" t="s">
        <v>109</v>
      </c>
      <c r="T42" s="1136" t="s">
        <v>110</v>
      </c>
      <c r="U42" s="1118" t="str">
        <f ca="1">OFFSET(U42,0,-1)</f>
        <v>2</v>
      </c>
      <c r="V42" s="1220">
        <f ca="1">OFFSET(V42,0,-1)+1</f>
        <v>3</v>
      </c>
      <c r="W42" s="1220"/>
      <c r="X42" s="1220">
        <f ca="1">OFFSET(X42,0,-1)+1</f>
        <v>1</v>
      </c>
      <c r="Y42" s="1220">
        <f ca="1">OFFSET(Y42,0,-1)+1</f>
        <v>2</v>
      </c>
      <c r="Z42" s="1220">
        <f ca="1">OFFSET(Z42,0,-1)+1</f>
        <v>3</v>
      </c>
      <c r="AA42" s="2245">
        <f ca="1">OFFSET(AA42,0,-1)+1</f>
        <v>4</v>
      </c>
      <c r="AB42" s="2245"/>
      <c r="AC42" s="1220">
        <f ca="1">OFFSET(AC42,0,-2)+1</f>
        <v>5</v>
      </c>
      <c r="AD42" s="1220">
        <f ca="1">OFFSET(AD42,0,-1)+1</f>
        <v>6</v>
      </c>
      <c r="AE42" s="1220"/>
      <c r="AF42" s="1220">
        <f ca="1">OFFSET(AF42,0,-1)+1</f>
        <v>1</v>
      </c>
      <c r="AG42" s="1220">
        <f ca="1">OFFSET(AG42,0,-1)+1</f>
        <v>2</v>
      </c>
      <c r="AH42" s="1220">
        <f ca="1">OFFSET(AH42,0,-1)+1</f>
        <v>3</v>
      </c>
      <c r="AI42" s="2245">
        <f ca="1">OFFSET(AI42,0,-1)+1</f>
        <v>4</v>
      </c>
      <c r="AJ42" s="2245"/>
      <c r="AK42" s="1220">
        <f ca="1">OFFSET(AK42,0,-2)+1</f>
        <v>5</v>
      </c>
      <c r="AL42" s="1118">
        <f ca="1">OFFSET(AL42,0,-1)</f>
        <v>5</v>
      </c>
      <c r="AM42" s="1220">
        <f ca="1">OFFSET(AM42,0,-1)+1</f>
        <v>6</v>
      </c>
      <c r="AN42" s="439"/>
      <c r="AO42" s="439"/>
      <c r="AP42" s="439"/>
      <c r="AQ42" s="439"/>
      <c r="AR42" s="439"/>
    </row>
    <row r="43" spans="1:44" ht="21" customHeight="1">
      <c r="A43" s="1244" t="s">
        <v>189</v>
      </c>
      <c r="B43" s="1244"/>
      <c r="C43" s="1244"/>
      <c r="D43" s="1244"/>
      <c r="E43" s="2235">
        <v>1</v>
      </c>
      <c r="F43" s="1244"/>
      <c r="G43" s="1244"/>
      <c r="H43" s="1244"/>
      <c r="I43" s="1244"/>
      <c r="J43" s="1244"/>
      <c r="K43" s="1244"/>
      <c r="L43" s="1245"/>
      <c r="M43" s="1246"/>
      <c r="N43" s="1246"/>
      <c r="O43" s="1246"/>
      <c r="P43" s="285"/>
      <c r="Q43" s="284"/>
      <c r="R43" s="279"/>
      <c r="S43" s="1221">
        <f>INDEX(PT_DIFFERENTIATION_NUM_NTAR,MATCH(A43,PT_DIFFERENTIATION_NTAR_ID,0))</f>
        <v>0</v>
      </c>
      <c r="T43" s="216" t="s">
        <v>124</v>
      </c>
      <c r="U43" s="218"/>
      <c r="V43" s="2229"/>
      <c r="W43" s="2230"/>
      <c r="X43" s="2230"/>
      <c r="Y43" s="2230"/>
      <c r="Z43" s="2230"/>
      <c r="AA43" s="2230"/>
      <c r="AB43" s="2230"/>
      <c r="AC43" s="2231"/>
      <c r="AD43" s="2229" t="str">
        <f>INDEX(PT_DIFFERENTIATION_NTAR,MATCH(A43,PT_DIFFERENTIATION_NTAR_ID,0))</f>
        <v/>
      </c>
      <c r="AE43" s="2230"/>
      <c r="AF43" s="2230"/>
      <c r="AG43" s="2230"/>
      <c r="AH43" s="2230"/>
      <c r="AI43" s="2230"/>
      <c r="AJ43" s="2230"/>
      <c r="AK43" s="2230"/>
      <c r="AL43" s="2231"/>
      <c r="AM43" s="1140" t="s">
        <v>1460</v>
      </c>
      <c r="AO43" s="428"/>
      <c r="AP43" s="428" t="str">
        <f t="shared" ref="AP43:AP57" si="1">IF(T43="","",T43)</f>
        <v>Наименование тарифа</v>
      </c>
      <c r="AQ43" s="428"/>
      <c r="AR43" s="428"/>
    </row>
    <row r="44" spans="1:44" ht="21" customHeight="1">
      <c r="A44" s="1244" t="s">
        <v>189</v>
      </c>
      <c r="B44" s="1244" t="s">
        <v>190</v>
      </c>
      <c r="C44" s="1244"/>
      <c r="D44" s="1244"/>
      <c r="E44" s="2236"/>
      <c r="F44" s="2235">
        <v>1</v>
      </c>
      <c r="G44" s="1244"/>
      <c r="H44" s="1244"/>
      <c r="I44" s="1244"/>
      <c r="J44" s="1244"/>
      <c r="K44" s="1244"/>
      <c r="L44" s="1245"/>
      <c r="M44" s="1246"/>
      <c r="N44" s="1246"/>
      <c r="O44" s="1246"/>
      <c r="P44" s="1217"/>
      <c r="Q44" s="276"/>
      <c r="R44" s="277"/>
      <c r="S44" s="1221" t="str">
        <f>INDEX(PT_DIFFERENTIATION_NUM_TER,MATCH(B44,PT_DIFFERENTIATION_TER_ID,0))</f>
        <v>.</v>
      </c>
      <c r="T44" s="228" t="s">
        <v>1461</v>
      </c>
      <c r="U44" s="218"/>
      <c r="V44" s="2229"/>
      <c r="W44" s="2230"/>
      <c r="X44" s="2230"/>
      <c r="Y44" s="2230"/>
      <c r="Z44" s="2230"/>
      <c r="AA44" s="2230"/>
      <c r="AB44" s="2230"/>
      <c r="AC44" s="2231"/>
      <c r="AD44" s="2229" t="str">
        <f>INDEX(PT_DIFFERENTIATION_TER,MATCH(B44,PT_DIFFERENTIATION_TER_ID,0))</f>
        <v/>
      </c>
      <c r="AE44" s="2230"/>
      <c r="AF44" s="2230"/>
      <c r="AG44" s="2230"/>
      <c r="AH44" s="2230"/>
      <c r="AI44" s="2230"/>
      <c r="AJ44" s="2230"/>
      <c r="AK44" s="2230"/>
      <c r="AL44" s="2231"/>
      <c r="AM44" s="1140" t="s">
        <v>1462</v>
      </c>
      <c r="AO44" s="428"/>
      <c r="AP44" s="428" t="str">
        <f t="shared" si="1"/>
        <v>Территория действия тарифа</v>
      </c>
      <c r="AQ44" s="428"/>
      <c r="AR44" s="428"/>
    </row>
    <row r="45" spans="1:44" ht="23.25" customHeight="1">
      <c r="A45" s="1244" t="s">
        <v>189</v>
      </c>
      <c r="B45" s="1244" t="s">
        <v>190</v>
      </c>
      <c r="C45" s="1244" t="s">
        <v>191</v>
      </c>
      <c r="D45" s="1244"/>
      <c r="E45" s="2236"/>
      <c r="F45" s="2236"/>
      <c r="G45" s="2235">
        <v>1</v>
      </c>
      <c r="H45" s="1244"/>
      <c r="I45" s="1244"/>
      <c r="J45" s="1244"/>
      <c r="K45" s="1244"/>
      <c r="L45" s="1245"/>
      <c r="M45" s="1246"/>
      <c r="N45" s="1246"/>
      <c r="O45" s="1246"/>
      <c r="P45" s="278"/>
      <c r="Q45" s="276"/>
      <c r="R45" s="277"/>
      <c r="S45" s="1221" t="str">
        <f>INDEX(PT_DIFFERENTIATION_NUM_CS,MATCH(C45,PT_DIFFERENTIATION_CS_ID,0))</f>
        <v>..</v>
      </c>
      <c r="T45" s="229" t="s">
        <v>1463</v>
      </c>
      <c r="U45" s="218"/>
      <c r="V45" s="2229"/>
      <c r="W45" s="2230"/>
      <c r="X45" s="2230"/>
      <c r="Y45" s="2230"/>
      <c r="Z45" s="2230"/>
      <c r="AA45" s="2230"/>
      <c r="AB45" s="2230"/>
      <c r="AC45" s="2231"/>
      <c r="AD45" s="2229" t="str">
        <f>INDEX(PT_DIFFERENTIATION_CS,MATCH(C45,PT_DIFFERENTIATION_CS_ID,0))</f>
        <v/>
      </c>
      <c r="AE45" s="2230"/>
      <c r="AF45" s="2230"/>
      <c r="AG45" s="2230"/>
      <c r="AH45" s="2230"/>
      <c r="AI45" s="2230"/>
      <c r="AJ45" s="2230"/>
      <c r="AK45" s="2230"/>
      <c r="AL45" s="2231"/>
      <c r="AM45" s="1140" t="s">
        <v>1464</v>
      </c>
      <c r="AO45" s="428"/>
      <c r="AP45" s="428" t="str">
        <f t="shared" si="1"/>
        <v xml:space="preserve">Наименование системы теплоснабжения </v>
      </c>
      <c r="AQ45" s="428"/>
      <c r="AR45" s="428"/>
    </row>
    <row r="46" spans="1:44" ht="21" customHeight="1">
      <c r="A46" s="1244" t="s">
        <v>189</v>
      </c>
      <c r="B46" s="1244" t="s">
        <v>190</v>
      </c>
      <c r="C46" s="1244" t="s">
        <v>191</v>
      </c>
      <c r="D46" s="1244" t="s">
        <v>192</v>
      </c>
      <c r="E46" s="2236"/>
      <c r="F46" s="2236"/>
      <c r="G46" s="2236"/>
      <c r="H46" s="2235">
        <v>1</v>
      </c>
      <c r="I46" s="1244"/>
      <c r="J46" s="1244"/>
      <c r="K46" s="1244"/>
      <c r="L46" s="1245"/>
      <c r="M46" s="1246"/>
      <c r="N46" s="1246"/>
      <c r="O46" s="1246"/>
      <c r="P46" s="278"/>
      <c r="Q46" s="276"/>
      <c r="R46" s="277"/>
      <c r="S46" s="1221" t="str">
        <f>INDEX(PT_DIFFERENTIATION_NUM_IST_TE,MATCH(D46,PT_DIFFERENTIATION_IST_TE_ID,0))</f>
        <v>...</v>
      </c>
      <c r="T46" s="230" t="s">
        <v>1465</v>
      </c>
      <c r="U46" s="218"/>
      <c r="V46" s="2229"/>
      <c r="W46" s="2230"/>
      <c r="X46" s="2230"/>
      <c r="Y46" s="2230"/>
      <c r="Z46" s="2230"/>
      <c r="AA46" s="2230"/>
      <c r="AB46" s="2230"/>
      <c r="AC46" s="2231"/>
      <c r="AD46" s="2229" t="str">
        <f>INDEX(PT_DIFFERENTIATION_IST_TE,MATCH(D46,PT_DIFFERENTIATION_IST_TE_ID,0))</f>
        <v/>
      </c>
      <c r="AE46" s="2230"/>
      <c r="AF46" s="2230"/>
      <c r="AG46" s="2230"/>
      <c r="AH46" s="2230"/>
      <c r="AI46" s="2230"/>
      <c r="AJ46" s="2230"/>
      <c r="AK46" s="2230"/>
      <c r="AL46" s="2231"/>
      <c r="AM46" s="1140" t="s">
        <v>1466</v>
      </c>
      <c r="AO46" s="428"/>
      <c r="AP46" s="428" t="str">
        <f t="shared" si="1"/>
        <v xml:space="preserve">Источник тепловой энергии  </v>
      </c>
      <c r="AQ46" s="428"/>
      <c r="AR46" s="428"/>
    </row>
    <row r="47" spans="1:44" s="1772" customFormat="1" ht="0" hidden="1" customHeight="1">
      <c r="A47" s="1228" t="s">
        <v>189</v>
      </c>
      <c r="B47" s="1228" t="s">
        <v>190</v>
      </c>
      <c r="C47" s="1228" t="s">
        <v>191</v>
      </c>
      <c r="D47" s="1228" t="s">
        <v>192</v>
      </c>
      <c r="E47" s="2236"/>
      <c r="F47" s="2236"/>
      <c r="G47" s="2236"/>
      <c r="H47" s="2236"/>
      <c r="I47" s="2237" t="str">
        <f>S46&amp;".1"</f>
        <v>....1</v>
      </c>
      <c r="J47" s="1228"/>
      <c r="K47" s="1228"/>
      <c r="L47" s="1231" t="s">
        <v>1467</v>
      </c>
      <c r="M47" s="438"/>
      <c r="N47" s="438"/>
      <c r="O47" s="438"/>
      <c r="P47" s="2157">
        <v>1</v>
      </c>
      <c r="Q47" s="1216"/>
      <c r="R47" s="280"/>
      <c r="S47" s="932"/>
      <c r="T47" s="1263"/>
      <c r="U47" s="1264"/>
      <c r="V47" s="2263"/>
      <c r="W47" s="2264"/>
      <c r="X47" s="2264"/>
      <c r="Y47" s="2264"/>
      <c r="Z47" s="2264"/>
      <c r="AA47" s="2264"/>
      <c r="AB47" s="2264"/>
      <c r="AC47" s="2265"/>
      <c r="AD47" s="2263"/>
      <c r="AE47" s="2264"/>
      <c r="AF47" s="2264"/>
      <c r="AG47" s="2264"/>
      <c r="AH47" s="2264"/>
      <c r="AI47" s="2264"/>
      <c r="AJ47" s="2264"/>
      <c r="AK47" s="2264"/>
      <c r="AL47" s="2265"/>
      <c r="AM47" s="1265"/>
      <c r="AO47" s="428"/>
      <c r="AP47" s="428" t="str">
        <f t="shared" si="1"/>
        <v/>
      </c>
      <c r="AQ47" s="428"/>
      <c r="AR47" s="428"/>
    </row>
    <row r="48" spans="1:44" ht="21" customHeight="1">
      <c r="A48" s="1244" t="s">
        <v>189</v>
      </c>
      <c r="B48" s="1244" t="s">
        <v>190</v>
      </c>
      <c r="C48" s="1244" t="s">
        <v>191</v>
      </c>
      <c r="D48" s="1244" t="s">
        <v>192</v>
      </c>
      <c r="E48" s="2236"/>
      <c r="F48" s="2236"/>
      <c r="G48" s="2236"/>
      <c r="H48" s="2236"/>
      <c r="I48" s="2238"/>
      <c r="J48" s="2237" t="str">
        <f>S46&amp;".1"</f>
        <v>....1</v>
      </c>
      <c r="K48" s="1244"/>
      <c r="L48" s="1245" t="s">
        <v>1470</v>
      </c>
      <c r="P48" s="2157"/>
      <c r="Q48" s="2157">
        <v>1</v>
      </c>
      <c r="R48" s="281"/>
      <c r="S48" s="1221" t="str">
        <f>$J48</f>
        <v>....1</v>
      </c>
      <c r="T48" s="204" t="s">
        <v>1471</v>
      </c>
      <c r="U48" s="218"/>
      <c r="V48" s="2224"/>
      <c r="W48" s="2225"/>
      <c r="X48" s="2225"/>
      <c r="Y48" s="2225"/>
      <c r="Z48" s="2225"/>
      <c r="AA48" s="2225"/>
      <c r="AB48" s="2225"/>
      <c r="AC48" s="2226"/>
      <c r="AD48" s="2224"/>
      <c r="AE48" s="2225"/>
      <c r="AF48" s="2225"/>
      <c r="AG48" s="2225"/>
      <c r="AH48" s="2225"/>
      <c r="AI48" s="2225"/>
      <c r="AJ48" s="2225"/>
      <c r="AK48" s="2225"/>
      <c r="AL48" s="2226"/>
      <c r="AM48" s="1140" t="s">
        <v>1472</v>
      </c>
      <c r="AO48" s="428"/>
      <c r="AP48" s="428" t="str">
        <f t="shared" si="1"/>
        <v>Группа потребителей</v>
      </c>
      <c r="AQ48" s="428"/>
      <c r="AR48" s="428"/>
    </row>
    <row r="49" spans="1:44" ht="21" customHeight="1">
      <c r="A49" s="1244" t="s">
        <v>189</v>
      </c>
      <c r="B49" s="1244" t="s">
        <v>190</v>
      </c>
      <c r="C49" s="1244" t="s">
        <v>191</v>
      </c>
      <c r="D49" s="1244" t="s">
        <v>192</v>
      </c>
      <c r="E49" s="2236"/>
      <c r="F49" s="2236"/>
      <c r="G49" s="2236"/>
      <c r="H49" s="2236"/>
      <c r="I49" s="2238"/>
      <c r="J49" s="2238"/>
      <c r="K49" s="2237" t="str">
        <f>J48&amp;".1"</f>
        <v>....1.1</v>
      </c>
      <c r="L49" s="1245" t="s">
        <v>1473</v>
      </c>
      <c r="P49" s="2157"/>
      <c r="Q49" s="2157"/>
      <c r="R49" s="281">
        <v>1</v>
      </c>
      <c r="S49" s="1221" t="str">
        <f>$K49</f>
        <v>....1.1</v>
      </c>
      <c r="T49" s="1232"/>
      <c r="U49" s="218"/>
      <c r="V49" s="1667"/>
      <c r="W49" s="1668"/>
      <c r="X49" s="1667"/>
      <c r="Y49" s="1669"/>
      <c r="Z49" s="2239"/>
      <c r="AA49" s="2031" t="s">
        <v>66</v>
      </c>
      <c r="AB49" s="2239"/>
      <c r="AC49" s="2031" t="s">
        <v>66</v>
      </c>
      <c r="AD49" s="1667"/>
      <c r="AE49" s="1668"/>
      <c r="AF49" s="1667"/>
      <c r="AG49" s="1669"/>
      <c r="AH49" s="2239"/>
      <c r="AI49" s="2031" t="s">
        <v>66</v>
      </c>
      <c r="AJ49" s="2241"/>
      <c r="AK49" s="2031" t="s">
        <v>66</v>
      </c>
      <c r="AL49" s="1675"/>
      <c r="AM49" s="2257" t="s">
        <v>1517</v>
      </c>
      <c r="AN49" s="439" t="e">
        <f ca="1">STRCHECKDATE(V50:AL50)</f>
        <v>#NAME?</v>
      </c>
      <c r="AO49" s="428"/>
      <c r="AP49" s="428" t="str">
        <f t="shared" si="1"/>
        <v/>
      </c>
      <c r="AQ49" s="428"/>
      <c r="AR49" s="428"/>
    </row>
    <row r="50" spans="1:44" ht="0.75" customHeight="1">
      <c r="A50" s="1244" t="s">
        <v>189</v>
      </c>
      <c r="B50" s="1244" t="s">
        <v>190</v>
      </c>
      <c r="C50" s="1244" t="s">
        <v>191</v>
      </c>
      <c r="D50" s="1244" t="s">
        <v>192</v>
      </c>
      <c r="E50" s="2236"/>
      <c r="F50" s="2236"/>
      <c r="G50" s="2236"/>
      <c r="H50" s="2236"/>
      <c r="I50" s="2238"/>
      <c r="J50" s="2238"/>
      <c r="K50" s="2237"/>
      <c r="L50" s="1245"/>
      <c r="P50" s="2157"/>
      <c r="Q50" s="2157"/>
      <c r="R50" s="281"/>
      <c r="S50" s="1227"/>
      <c r="T50" s="218"/>
      <c r="U50" s="218"/>
      <c r="V50" s="1668"/>
      <c r="W50" s="1668"/>
      <c r="X50" s="1668"/>
      <c r="Y50" s="1670" t="str">
        <f>Z49&amp;"-"&amp;AB49</f>
        <v>-</v>
      </c>
      <c r="Z50" s="2240"/>
      <c r="AA50" s="2031"/>
      <c r="AB50" s="2240"/>
      <c r="AC50" s="2031"/>
      <c r="AD50" s="1668"/>
      <c r="AE50" s="1668"/>
      <c r="AF50" s="1668"/>
      <c r="AG50" s="1670" t="str">
        <f>AH49&amp;"-"&amp;AJ49</f>
        <v>-</v>
      </c>
      <c r="AH50" s="2240"/>
      <c r="AI50" s="2031"/>
      <c r="AJ50" s="2242"/>
      <c r="AK50" s="2031"/>
      <c r="AL50" s="1676"/>
      <c r="AM50" s="2258"/>
      <c r="AO50" s="428"/>
      <c r="AP50" s="428" t="str">
        <f t="shared" si="1"/>
        <v/>
      </c>
      <c r="AQ50" s="428"/>
      <c r="AR50" s="428"/>
    </row>
    <row r="51" spans="1:44" ht="11.25" customHeight="1">
      <c r="A51" s="1244" t="s">
        <v>189</v>
      </c>
      <c r="B51" s="1244" t="s">
        <v>190</v>
      </c>
      <c r="C51" s="1244" t="s">
        <v>191</v>
      </c>
      <c r="D51" s="1244" t="s">
        <v>192</v>
      </c>
      <c r="E51" s="2236"/>
      <c r="F51" s="2236"/>
      <c r="G51" s="2236"/>
      <c r="H51" s="2236"/>
      <c r="I51" s="2238"/>
      <c r="J51" s="2237"/>
      <c r="K51" s="1244"/>
      <c r="L51" s="1245"/>
      <c r="P51" s="2157"/>
      <c r="Q51" s="2157"/>
      <c r="R51" s="280"/>
      <c r="S51" s="1161"/>
      <c r="T51" s="205" t="s">
        <v>1475</v>
      </c>
      <c r="U51" s="294"/>
      <c r="V51" s="294"/>
      <c r="W51" s="294"/>
      <c r="X51" s="294"/>
      <c r="Y51" s="294"/>
      <c r="Z51" s="294"/>
      <c r="AA51" s="294"/>
      <c r="AB51" s="294"/>
      <c r="AC51" s="294"/>
      <c r="AD51" s="294"/>
      <c r="AE51" s="294"/>
      <c r="AF51" s="294"/>
      <c r="AG51" s="294"/>
      <c r="AH51" s="294"/>
      <c r="AI51" s="294"/>
      <c r="AJ51" s="294"/>
      <c r="AK51" s="294"/>
      <c r="AL51" s="251"/>
      <c r="AM51" s="2259"/>
      <c r="AO51" s="428"/>
      <c r="AP51" s="428" t="str">
        <f t="shared" si="1"/>
        <v>Добавить вид теплоносителя (параметры теплоносителя)</v>
      </c>
      <c r="AQ51" s="428"/>
      <c r="AR51" s="428"/>
    </row>
    <row r="52" spans="1:44" ht="11.25" customHeight="1">
      <c r="A52" s="1244" t="s">
        <v>189</v>
      </c>
      <c r="B52" s="1244" t="s">
        <v>190</v>
      </c>
      <c r="C52" s="1244" t="s">
        <v>191</v>
      </c>
      <c r="D52" s="1244" t="s">
        <v>192</v>
      </c>
      <c r="E52" s="2236"/>
      <c r="F52" s="2236"/>
      <c r="G52" s="2236"/>
      <c r="H52" s="2236"/>
      <c r="I52" s="2237"/>
      <c r="J52" s="1244"/>
      <c r="K52" s="1244"/>
      <c r="L52" s="1245"/>
      <c r="P52" s="2157"/>
      <c r="Q52" s="1216"/>
      <c r="R52" s="280"/>
      <c r="S52" s="1161"/>
      <c r="T52" s="291" t="s">
        <v>1476</v>
      </c>
      <c r="U52" s="294"/>
      <c r="V52" s="294"/>
      <c r="W52" s="294"/>
      <c r="X52" s="294"/>
      <c r="Y52" s="294"/>
      <c r="Z52" s="294"/>
      <c r="AA52" s="294"/>
      <c r="AB52" s="294"/>
      <c r="AC52" s="293"/>
      <c r="AD52" s="294"/>
      <c r="AE52" s="294"/>
      <c r="AF52" s="294"/>
      <c r="AG52" s="294"/>
      <c r="AH52" s="294"/>
      <c r="AI52" s="294"/>
      <c r="AJ52" s="294"/>
      <c r="AK52" s="293"/>
      <c r="AL52" s="294"/>
      <c r="AM52" s="221"/>
      <c r="AO52" s="428"/>
      <c r="AP52" s="428" t="str">
        <f t="shared" si="1"/>
        <v>Добавить группу потребителей</v>
      </c>
      <c r="AQ52" s="428"/>
      <c r="AR52" s="428"/>
    </row>
    <row r="53" spans="1:44" ht="0" hidden="1" customHeight="1">
      <c r="A53" s="1244" t="s">
        <v>189</v>
      </c>
      <c r="B53" s="1244" t="s">
        <v>190</v>
      </c>
      <c r="C53" s="1244" t="s">
        <v>191</v>
      </c>
      <c r="D53" s="1244" t="s">
        <v>192</v>
      </c>
      <c r="E53" s="2236"/>
      <c r="F53" s="2236"/>
      <c r="G53" s="2236"/>
      <c r="H53" s="2235"/>
      <c r="I53" s="1244"/>
      <c r="J53" s="1244"/>
      <c r="K53" s="1244"/>
      <c r="L53" s="1245"/>
      <c r="M53" s="1246"/>
      <c r="N53" s="1246"/>
      <c r="O53" s="464"/>
      <c r="P53" s="284"/>
      <c r="Q53" s="303"/>
      <c r="R53" s="279"/>
      <c r="S53" s="1266"/>
      <c r="T53" s="1267"/>
      <c r="U53" s="1268"/>
      <c r="V53" s="1268"/>
      <c r="W53" s="1268"/>
      <c r="X53" s="1268"/>
      <c r="Y53" s="1268"/>
      <c r="Z53" s="1268"/>
      <c r="AA53" s="1268"/>
      <c r="AB53" s="1268"/>
      <c r="AC53" s="1268"/>
      <c r="AD53" s="1268"/>
      <c r="AE53" s="1268"/>
      <c r="AF53" s="1268"/>
      <c r="AG53" s="1268"/>
      <c r="AH53" s="1268"/>
      <c r="AI53" s="1268"/>
      <c r="AJ53" s="1268"/>
      <c r="AK53" s="1268"/>
      <c r="AL53" s="1268"/>
      <c r="AM53" s="1269"/>
      <c r="AO53" s="428"/>
      <c r="AP53" s="428" t="str">
        <f t="shared" si="1"/>
        <v/>
      </c>
      <c r="AQ53" s="428"/>
      <c r="AR53" s="428"/>
    </row>
    <row r="54" spans="1:44" s="1772" customFormat="1" ht="0.75" customHeight="1">
      <c r="A54" s="1228" t="s">
        <v>189</v>
      </c>
      <c r="B54" s="1228" t="s">
        <v>190</v>
      </c>
      <c r="C54" s="1228" t="s">
        <v>191</v>
      </c>
      <c r="D54" s="1200"/>
      <c r="E54" s="2236"/>
      <c r="F54" s="2236"/>
      <c r="G54" s="2235"/>
      <c r="H54" s="1200"/>
      <c r="I54" s="1200"/>
      <c r="J54" s="1200"/>
      <c r="K54" s="1200"/>
      <c r="L54" s="1224"/>
      <c r="M54" s="1201"/>
      <c r="N54" s="1201"/>
      <c r="P54" s="1202"/>
      <c r="Q54" s="1203"/>
      <c r="R54" s="1202"/>
      <c r="S54" s="1208"/>
      <c r="T54" s="1211" t="s">
        <v>1436</v>
      </c>
      <c r="U54" s="1210"/>
      <c r="V54" s="1210"/>
      <c r="W54" s="1210"/>
      <c r="X54" s="1210"/>
      <c r="Y54" s="1210"/>
      <c r="Z54" s="1210"/>
      <c r="AA54" s="1210"/>
      <c r="AB54" s="1210"/>
      <c r="AC54" s="1210"/>
      <c r="AD54" s="1210"/>
      <c r="AE54" s="1210"/>
      <c r="AF54" s="1210"/>
      <c r="AG54" s="1210"/>
      <c r="AH54" s="1210"/>
      <c r="AI54" s="1210"/>
      <c r="AJ54" s="1210"/>
      <c r="AK54" s="1210"/>
      <c r="AL54" s="1210"/>
      <c r="AM54" s="1210"/>
      <c r="AO54" s="696"/>
      <c r="AP54" s="696" t="str">
        <f t="shared" si="1"/>
        <v>Добавить источник для дифференциации</v>
      </c>
      <c r="AQ54" s="696"/>
      <c r="AR54" s="696"/>
    </row>
    <row r="55" spans="1:44" s="1772" customFormat="1" ht="0.75" customHeight="1">
      <c r="A55" s="1228" t="s">
        <v>189</v>
      </c>
      <c r="B55" s="1228" t="s">
        <v>190</v>
      </c>
      <c r="C55" s="1200"/>
      <c r="D55" s="1200"/>
      <c r="E55" s="2236"/>
      <c r="F55" s="2235"/>
      <c r="G55" s="1200"/>
      <c r="H55" s="1200"/>
      <c r="I55" s="1200"/>
      <c r="J55" s="1200"/>
      <c r="K55" s="1200"/>
      <c r="L55" s="1224"/>
      <c r="M55" s="1207"/>
      <c r="N55" s="1207"/>
      <c r="P55" s="1202"/>
      <c r="Q55" s="1203"/>
      <c r="R55" s="1202"/>
      <c r="S55" s="1208"/>
      <c r="T55" s="1211" t="s">
        <v>1437</v>
      </c>
      <c r="U55" s="1210"/>
      <c r="V55" s="1210"/>
      <c r="W55" s="1210"/>
      <c r="X55" s="1210"/>
      <c r="Y55" s="1210"/>
      <c r="Z55" s="1210"/>
      <c r="AA55" s="1210"/>
      <c r="AB55" s="1210"/>
      <c r="AC55" s="1210"/>
      <c r="AD55" s="1210"/>
      <c r="AE55" s="1210"/>
      <c r="AF55" s="1210"/>
      <c r="AG55" s="1210"/>
      <c r="AH55" s="1210"/>
      <c r="AI55" s="1210"/>
      <c r="AJ55" s="1210"/>
      <c r="AK55" s="1210"/>
      <c r="AL55" s="1210"/>
      <c r="AM55" s="1210"/>
      <c r="AO55" s="696"/>
      <c r="AP55" s="696" t="str">
        <f t="shared" si="1"/>
        <v>Добавить централизованную систему для дифференциации</v>
      </c>
      <c r="AQ55" s="696"/>
      <c r="AR55" s="696"/>
    </row>
    <row r="56" spans="1:44" s="1772" customFormat="1" ht="0.75" customHeight="1">
      <c r="A56" s="1228" t="s">
        <v>189</v>
      </c>
      <c r="B56" s="1228"/>
      <c r="C56" s="1228"/>
      <c r="D56" s="1228"/>
      <c r="E56" s="2235"/>
      <c r="F56" s="1228"/>
      <c r="G56" s="1228"/>
      <c r="H56" s="1228"/>
      <c r="I56" s="1228"/>
      <c r="J56" s="1228"/>
      <c r="K56" s="1228"/>
      <c r="L56" s="1231"/>
      <c r="M56" s="1207"/>
      <c r="N56" s="1207"/>
      <c r="O56" s="446"/>
      <c r="P56" s="311"/>
      <c r="Q56" s="1229"/>
      <c r="R56" s="311"/>
      <c r="S56" s="1208"/>
      <c r="T56" s="1211" t="s">
        <v>1438</v>
      </c>
      <c r="U56" s="1210"/>
      <c r="V56" s="1210"/>
      <c r="W56" s="1210"/>
      <c r="X56" s="1210"/>
      <c r="Y56" s="1210"/>
      <c r="Z56" s="1210"/>
      <c r="AA56" s="1210"/>
      <c r="AB56" s="1210"/>
      <c r="AC56" s="1210"/>
      <c r="AD56" s="1210"/>
      <c r="AE56" s="1210"/>
      <c r="AF56" s="1210"/>
      <c r="AG56" s="1210"/>
      <c r="AH56" s="1210"/>
      <c r="AI56" s="1210"/>
      <c r="AJ56" s="1210"/>
      <c r="AK56" s="1210"/>
      <c r="AL56" s="1210"/>
      <c r="AM56" s="1210"/>
      <c r="AO56" s="428"/>
      <c r="AP56" s="428" t="str">
        <f t="shared" si="1"/>
        <v>Добавить территорию для дифференциации</v>
      </c>
      <c r="AQ56" s="428"/>
      <c r="AR56" s="428"/>
    </row>
    <row r="57" spans="1:44" s="1772" customFormat="1" ht="0.75" customHeight="1">
      <c r="A57" s="1200"/>
      <c r="B57" s="1200"/>
      <c r="C57" s="1200"/>
      <c r="D57" s="1200"/>
      <c r="E57" s="1228"/>
      <c r="F57" s="1200"/>
      <c r="G57" s="1200"/>
      <c r="H57" s="1200"/>
      <c r="I57" s="1200"/>
      <c r="J57" s="1200"/>
      <c r="K57" s="1200"/>
      <c r="L57" s="1224"/>
      <c r="M57" s="1207"/>
      <c r="N57" s="1207"/>
      <c r="P57" s="1202"/>
      <c r="Q57" s="1203"/>
      <c r="R57" s="1202"/>
      <c r="S57" s="1208"/>
      <c r="T57" s="1211" t="s">
        <v>1439</v>
      </c>
      <c r="U57" s="1210"/>
      <c r="V57" s="1210"/>
      <c r="W57" s="1210"/>
      <c r="X57" s="1210"/>
      <c r="Y57" s="1210"/>
      <c r="Z57" s="1210"/>
      <c r="AA57" s="1210"/>
      <c r="AB57" s="1210"/>
      <c r="AC57" s="1210"/>
      <c r="AD57" s="1210"/>
      <c r="AE57" s="1210"/>
      <c r="AF57" s="1210"/>
      <c r="AG57" s="1210"/>
      <c r="AH57" s="1210"/>
      <c r="AI57" s="1210"/>
      <c r="AJ57" s="1210"/>
      <c r="AK57" s="1210"/>
      <c r="AL57" s="1210"/>
      <c r="AM57" s="1210"/>
      <c r="AO57" s="696"/>
      <c r="AP57" s="696" t="str">
        <f t="shared" si="1"/>
        <v>Добавить наименование тарифа</v>
      </c>
      <c r="AQ57" s="696"/>
      <c r="AR57" s="696"/>
    </row>
    <row r="58" spans="1:44" ht="11.25" hidden="1" customHeight="1">
      <c r="M58" s="1036"/>
      <c r="N58" s="1036"/>
      <c r="O58" s="464"/>
      <c r="P58" s="1031"/>
      <c r="Q58" s="1031"/>
      <c r="R58" s="1031"/>
      <c r="S58" s="1031"/>
      <c r="AN58" s="1031"/>
      <c r="AO58" s="1031"/>
      <c r="AP58" s="1031"/>
      <c r="AQ58" s="1031"/>
      <c r="AR58" s="1031"/>
    </row>
    <row r="59" spans="1:44" ht="18.75" hidden="1" customHeight="1">
      <c r="O59" s="464"/>
      <c r="S59" s="1128" t="s">
        <v>1509</v>
      </c>
      <c r="T59" s="2234" t="s">
        <v>1518</v>
      </c>
      <c r="U59" s="2234"/>
      <c r="V59" s="2234"/>
      <c r="W59" s="2234"/>
      <c r="X59" s="2234"/>
      <c r="Y59" s="2234"/>
      <c r="Z59" s="2234"/>
      <c r="AA59" s="2234"/>
      <c r="AB59" s="2234"/>
      <c r="AC59" s="2234"/>
      <c r="AD59" s="2234"/>
      <c r="AE59" s="2234"/>
      <c r="AF59" s="2234"/>
      <c r="AG59" s="2234"/>
      <c r="AH59" s="2234"/>
      <c r="AI59" s="2234"/>
      <c r="AJ59" s="2234"/>
      <c r="AK59" s="2234"/>
      <c r="AL59" s="2234"/>
      <c r="AM59" s="2234"/>
    </row>
    <row r="60" spans="1:44" ht="27.75" hidden="1" customHeight="1">
      <c r="O60" s="464"/>
      <c r="T60" s="2234" t="s">
        <v>1519</v>
      </c>
      <c r="U60" s="2234"/>
      <c r="V60" s="2234"/>
      <c r="W60" s="2234"/>
      <c r="X60" s="2234"/>
      <c r="Y60" s="2234"/>
      <c r="Z60" s="2234"/>
      <c r="AA60" s="2234"/>
      <c r="AB60" s="2234"/>
      <c r="AC60" s="2234"/>
      <c r="AD60" s="2234"/>
      <c r="AE60" s="2234"/>
      <c r="AF60" s="2234"/>
      <c r="AG60" s="2234"/>
      <c r="AH60" s="2234"/>
      <c r="AI60" s="2234"/>
      <c r="AJ60" s="2234"/>
      <c r="AK60" s="2234"/>
      <c r="AL60" s="2234"/>
      <c r="AM60" s="2234"/>
    </row>
    <row r="61" spans="1:44" ht="36.75" hidden="1" customHeight="1">
      <c r="O61" s="464"/>
      <c r="T61" s="2234" t="s">
        <v>1520</v>
      </c>
      <c r="U61" s="2234"/>
      <c r="V61" s="2234"/>
      <c r="W61" s="2234"/>
      <c r="X61" s="2234"/>
      <c r="Y61" s="2234"/>
      <c r="Z61" s="2234"/>
      <c r="AA61" s="2234"/>
      <c r="AB61" s="2234"/>
      <c r="AC61" s="2234"/>
      <c r="AD61" s="2234"/>
      <c r="AE61" s="2234"/>
      <c r="AF61" s="2234"/>
      <c r="AG61" s="2234"/>
      <c r="AH61" s="2234"/>
      <c r="AI61" s="2234"/>
      <c r="AJ61" s="2234"/>
      <c r="AK61" s="2234"/>
      <c r="AL61" s="2234"/>
      <c r="AM61" s="2234"/>
    </row>
    <row r="62" spans="1:44" ht="14.25" hidden="1" customHeight="1">
      <c r="O62" s="464"/>
    </row>
    <row r="63" spans="1:44" ht="19.5" hidden="1" customHeight="1">
      <c r="O63" s="464"/>
      <c r="S63" s="1128" t="s">
        <v>1509</v>
      </c>
      <c r="T63" s="2063" t="s">
        <v>1512</v>
      </c>
      <c r="U63" s="2234"/>
      <c r="V63" s="2234"/>
      <c r="W63" s="2234"/>
      <c r="X63" s="2234"/>
      <c r="Y63" s="2234"/>
      <c r="Z63" s="2234"/>
      <c r="AA63" s="2234"/>
      <c r="AB63" s="2234"/>
      <c r="AC63" s="2234"/>
      <c r="AD63" s="2234"/>
      <c r="AE63" s="2234"/>
      <c r="AF63" s="2234"/>
      <c r="AG63" s="2234"/>
      <c r="AH63" s="2234"/>
      <c r="AI63" s="2234"/>
      <c r="AJ63" s="2234"/>
      <c r="AK63" s="2234"/>
      <c r="AL63" s="2234"/>
      <c r="AM63" s="2234"/>
    </row>
    <row r="64" spans="1:44" ht="27.75" hidden="1" customHeight="1">
      <c r="O64" s="464"/>
      <c r="T64" s="2234" t="s">
        <v>1521</v>
      </c>
      <c r="U64" s="2234"/>
      <c r="V64" s="2234"/>
      <c r="W64" s="2234"/>
      <c r="X64" s="2234"/>
      <c r="Y64" s="2234"/>
      <c r="Z64" s="2234"/>
      <c r="AA64" s="2234"/>
      <c r="AB64" s="2234"/>
      <c r="AC64" s="2234"/>
      <c r="AD64" s="2234"/>
      <c r="AE64" s="2234"/>
      <c r="AF64" s="2234"/>
      <c r="AG64" s="2234"/>
      <c r="AH64" s="2234"/>
      <c r="AI64" s="2234"/>
      <c r="AJ64" s="2234"/>
      <c r="AK64" s="2234"/>
      <c r="AL64" s="2234"/>
      <c r="AM64" s="2234"/>
    </row>
    <row r="65" spans="20:39" ht="33.75" hidden="1" customHeight="1">
      <c r="T65" s="2234" t="s">
        <v>1522</v>
      </c>
      <c r="U65" s="2234"/>
      <c r="V65" s="2234"/>
      <c r="W65" s="2234"/>
      <c r="X65" s="2234"/>
      <c r="Y65" s="2234"/>
      <c r="Z65" s="2234"/>
      <c r="AA65" s="2234"/>
      <c r="AB65" s="2234"/>
      <c r="AC65" s="2234"/>
      <c r="AD65" s="2234"/>
      <c r="AE65" s="2234"/>
      <c r="AF65" s="2234"/>
      <c r="AG65" s="2234"/>
      <c r="AH65" s="2234"/>
      <c r="AI65" s="2234"/>
      <c r="AJ65" s="2234"/>
      <c r="AK65" s="2234"/>
      <c r="AL65" s="2234"/>
      <c r="AM65" s="2234"/>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V71"/>
  <sheetViews>
    <sheetView showGridLines="0" topLeftCell="R29" zoomScale="90" workbookViewId="0"/>
  </sheetViews>
  <sheetFormatPr defaultColWidth="10.5703125" defaultRowHeight="14.25" customHeight="1"/>
  <cols>
    <col min="1" max="1" width="10.5703125" style="1846" hidden="1"/>
    <col min="2" max="2" width="11" style="1846" hidden="1" customWidth="1"/>
    <col min="3" max="3" width="10.5703125" style="1846" hidden="1"/>
    <col min="4" max="4" width="11.85546875" style="1846" hidden="1" customWidth="1"/>
    <col min="5" max="5" width="10" style="1846" hidden="1" customWidth="1"/>
    <col min="6" max="6" width="8.7109375" style="1846" hidden="1" customWidth="1"/>
    <col min="7" max="7" width="7.5703125" style="1846" hidden="1" customWidth="1"/>
    <col min="8" max="8" width="11.42578125" style="1846" hidden="1" customWidth="1"/>
    <col min="9" max="9" width="12" style="1846" hidden="1" customWidth="1"/>
    <col min="10" max="10" width="9.85546875" style="1846" hidden="1" customWidth="1"/>
    <col min="11" max="12" width="11.42578125" style="1846" hidden="1" customWidth="1"/>
    <col min="13" max="13" width="19.140625" style="1748" hidden="1" customWidth="1"/>
    <col min="14" max="15" width="12.28515625" style="1740" hidden="1" customWidth="1"/>
    <col min="16" max="16" width="23.42578125" style="1740" hidden="1" customWidth="1"/>
    <col min="17" max="17" width="3.7109375" style="1740" hidden="1" customWidth="1"/>
    <col min="18" max="20" width="3.7109375" style="1677" customWidth="1"/>
    <col min="21" max="21" width="12.7109375" style="1727" customWidth="1"/>
    <col min="22" max="22" width="32" style="1846" customWidth="1"/>
    <col min="23" max="23" width="0.140625" style="1846" customWidth="1"/>
    <col min="24" max="28" width="21.7109375" style="1846" hidden="1" customWidth="1"/>
    <col min="29" max="29" width="11.7109375" style="1846" hidden="1" customWidth="1"/>
    <col min="30" max="30" width="3.7109375" style="1846" hidden="1" customWidth="1"/>
    <col min="31" max="31" width="11.7109375" style="1846" hidden="1" customWidth="1"/>
    <col min="32" max="32" width="8.5703125" style="1846" hidden="1" customWidth="1"/>
    <col min="33" max="37" width="21.7109375" style="1846" customWidth="1"/>
    <col min="38" max="38" width="11.7109375" style="1846" customWidth="1"/>
    <col min="39" max="39" width="3.7109375" style="1846" customWidth="1"/>
    <col min="40" max="40" width="11.7109375" style="1846" customWidth="1"/>
    <col min="41" max="41" width="8.5703125" style="1846" customWidth="1"/>
    <col min="42" max="42" width="4.7109375" style="1846" customWidth="1"/>
    <col min="43" max="43" width="115.7109375" style="1846" customWidth="1"/>
    <col min="44" max="45" width="10.5703125" style="1772"/>
    <col min="46" max="46" width="11.140625" style="1772" customWidth="1"/>
    <col min="47" max="48" width="10.5703125" style="1772"/>
  </cols>
  <sheetData>
    <row r="1" spans="1:48" ht="14.25" hidden="1" customHeight="1">
      <c r="AB1" s="254"/>
      <c r="AC1" s="254"/>
      <c r="AK1" s="254"/>
      <c r="AL1" s="254"/>
    </row>
    <row r="2" spans="1:48" ht="21" hidden="1" customHeight="1">
      <c r="A2" s="1149"/>
      <c r="B2" s="1149"/>
      <c r="C2" s="1149"/>
      <c r="D2" s="1149"/>
      <c r="E2" s="2269">
        <v>1</v>
      </c>
      <c r="F2" s="1149"/>
      <c r="G2" s="1149"/>
      <c r="H2" s="1149"/>
      <c r="I2" s="1149"/>
      <c r="J2" s="1149"/>
      <c r="K2" s="1149"/>
      <c r="L2" s="1149"/>
      <c r="M2" s="1196"/>
      <c r="N2" s="603"/>
      <c r="O2" s="603"/>
      <c r="P2" s="603"/>
      <c r="Q2" s="285"/>
      <c r="R2" s="284"/>
      <c r="S2" s="284"/>
      <c r="T2" s="279"/>
      <c r="U2" s="1221" t="e">
        <f>INDEX(PT_DIFFERENTIATION_NUM_NTAR,MATCH(A2,PT_DIFFERENTIATION_NTAR_ID,0))</f>
        <v>#N/A</v>
      </c>
      <c r="V2" s="216" t="s">
        <v>124</v>
      </c>
      <c r="W2" s="218"/>
      <c r="X2" s="2229"/>
      <c r="Y2" s="2230"/>
      <c r="Z2" s="2230"/>
      <c r="AA2" s="2230"/>
      <c r="AB2" s="2230"/>
      <c r="AC2" s="2230"/>
      <c r="AD2" s="2230"/>
      <c r="AE2" s="2230"/>
      <c r="AF2" s="2231"/>
      <c r="AG2" s="2229" t="e">
        <f>INDEX(PT_DIFFERENTIATION_NTAR,MATCH(A2,PT_DIFFERENTIATION_NTAR_ID,0))</f>
        <v>#N/A</v>
      </c>
      <c r="AH2" s="2230"/>
      <c r="AI2" s="2230"/>
      <c r="AJ2" s="2230"/>
      <c r="AK2" s="2230"/>
      <c r="AL2" s="2230"/>
      <c r="AM2" s="2230"/>
      <c r="AN2" s="2230"/>
      <c r="AO2" s="2230"/>
      <c r="AP2" s="2231"/>
      <c r="AQ2" s="1140" t="s">
        <v>1460</v>
      </c>
      <c r="AS2" s="428"/>
      <c r="AT2" s="428" t="str">
        <f t="shared" ref="AT2:AT8" si="0">IF(V2="","",V2)</f>
        <v>Наименование тарифа</v>
      </c>
      <c r="AU2" s="428"/>
      <c r="AV2" s="428"/>
    </row>
    <row r="3" spans="1:48" ht="21" hidden="1" customHeight="1">
      <c r="A3" s="1149"/>
      <c r="B3" s="1149"/>
      <c r="C3" s="1149"/>
      <c r="D3" s="1149"/>
      <c r="E3" s="2270"/>
      <c r="F3" s="2269">
        <v>1</v>
      </c>
      <c r="G3" s="1149"/>
      <c r="H3" s="1149"/>
      <c r="I3" s="1149"/>
      <c r="J3" s="1149"/>
      <c r="K3" s="1149"/>
      <c r="L3" s="1149"/>
      <c r="M3" s="1196"/>
      <c r="N3" s="603"/>
      <c r="O3" s="603"/>
      <c r="P3" s="603"/>
      <c r="Q3" s="1217"/>
      <c r="R3" s="276"/>
      <c r="S3" s="437"/>
      <c r="T3" s="277"/>
      <c r="U3" s="1221" t="e">
        <f>INDEX(PT_DIFFERENTIATION_NUM_TER,MATCH(B3,PT_DIFFERENTIATION_TER_ID,0))</f>
        <v>#N/A</v>
      </c>
      <c r="V3" s="228" t="s">
        <v>1461</v>
      </c>
      <c r="W3" s="218"/>
      <c r="X3" s="2229"/>
      <c r="Y3" s="2230"/>
      <c r="Z3" s="2230"/>
      <c r="AA3" s="2230"/>
      <c r="AB3" s="2230"/>
      <c r="AC3" s="2230"/>
      <c r="AD3" s="2230"/>
      <c r="AE3" s="2230"/>
      <c r="AF3" s="2231"/>
      <c r="AG3" s="2229" t="e">
        <f>INDEX(PT_DIFFERENTIATION_TER,MATCH(B3,PT_DIFFERENTIATION_TER_ID,0))</f>
        <v>#N/A</v>
      </c>
      <c r="AH3" s="2230"/>
      <c r="AI3" s="2230"/>
      <c r="AJ3" s="2230"/>
      <c r="AK3" s="2230"/>
      <c r="AL3" s="2230"/>
      <c r="AM3" s="2230"/>
      <c r="AN3" s="2230"/>
      <c r="AO3" s="2230"/>
      <c r="AP3" s="2231"/>
      <c r="AQ3" s="1140" t="s">
        <v>1462</v>
      </c>
      <c r="AS3" s="428"/>
      <c r="AT3" s="428" t="str">
        <f t="shared" si="0"/>
        <v>Территория действия тарифа</v>
      </c>
      <c r="AU3" s="428"/>
      <c r="AV3" s="428"/>
    </row>
    <row r="4" spans="1:48" ht="22.5" hidden="1" customHeight="1">
      <c r="A4" s="1149"/>
      <c r="B4" s="1149"/>
      <c r="C4" s="1149"/>
      <c r="D4" s="1149"/>
      <c r="E4" s="2270"/>
      <c r="F4" s="2270"/>
      <c r="G4" s="2269">
        <v>1</v>
      </c>
      <c r="H4" s="1149"/>
      <c r="I4" s="1149"/>
      <c r="J4" s="1149"/>
      <c r="K4" s="1149"/>
      <c r="L4" s="1149"/>
      <c r="M4" s="1196"/>
      <c r="N4" s="603"/>
      <c r="O4" s="603"/>
      <c r="P4" s="603"/>
      <c r="Q4" s="278"/>
      <c r="R4" s="276"/>
      <c r="S4" s="437"/>
      <c r="T4" s="277"/>
      <c r="U4" s="1221" t="e">
        <f>INDEX(PT_DIFFERENTIATION_NUM_CS,MATCH(C4,PT_DIFFERENTIATION_CS_ID,0))</f>
        <v>#N/A</v>
      </c>
      <c r="V4" s="229" t="s">
        <v>1463</v>
      </c>
      <c r="W4" s="218"/>
      <c r="X4" s="2229"/>
      <c r="Y4" s="2230"/>
      <c r="Z4" s="2230"/>
      <c r="AA4" s="2230"/>
      <c r="AB4" s="2230"/>
      <c r="AC4" s="2230"/>
      <c r="AD4" s="2230"/>
      <c r="AE4" s="2230"/>
      <c r="AF4" s="2231"/>
      <c r="AG4" s="2229" t="e">
        <f>INDEX(PT_DIFFERENTIATION_CS,MATCH(C4,PT_DIFFERENTIATION_CS_ID,0))</f>
        <v>#N/A</v>
      </c>
      <c r="AH4" s="2230"/>
      <c r="AI4" s="2230"/>
      <c r="AJ4" s="2230"/>
      <c r="AK4" s="2230"/>
      <c r="AL4" s="2230"/>
      <c r="AM4" s="2230"/>
      <c r="AN4" s="2230"/>
      <c r="AO4" s="2230"/>
      <c r="AP4" s="2231"/>
      <c r="AQ4" s="1140" t="s">
        <v>1464</v>
      </c>
      <c r="AS4" s="428"/>
      <c r="AT4" s="428" t="str">
        <f t="shared" si="0"/>
        <v xml:space="preserve">Наименование системы теплоснабжения </v>
      </c>
      <c r="AU4" s="428"/>
      <c r="AV4" s="428"/>
    </row>
    <row r="5" spans="1:48" ht="21" hidden="1" customHeight="1">
      <c r="A5" s="1149"/>
      <c r="B5" s="1149"/>
      <c r="C5" s="1149"/>
      <c r="D5" s="1149"/>
      <c r="E5" s="2270"/>
      <c r="F5" s="2270"/>
      <c r="G5" s="2270"/>
      <c r="H5" s="2269">
        <v>1</v>
      </c>
      <c r="I5" s="1149"/>
      <c r="J5" s="1149"/>
      <c r="K5" s="1149"/>
      <c r="L5" s="1149"/>
      <c r="M5" s="1196"/>
      <c r="N5" s="603"/>
      <c r="O5" s="603"/>
      <c r="P5" s="603"/>
      <c r="Q5" s="278"/>
      <c r="R5" s="276"/>
      <c r="S5" s="437"/>
      <c r="T5" s="277"/>
      <c r="U5" s="1221" t="e">
        <f>INDEX(PT_DIFFERENTIATION_NUM_IST_TE,MATCH(D5,PT_DIFFERENTIATION_IST_TE_ID,0))</f>
        <v>#N/A</v>
      </c>
      <c r="V5" s="230" t="s">
        <v>1465</v>
      </c>
      <c r="W5" s="218"/>
      <c r="X5" s="2229"/>
      <c r="Y5" s="2230"/>
      <c r="Z5" s="2230"/>
      <c r="AA5" s="2230"/>
      <c r="AB5" s="2230"/>
      <c r="AC5" s="2230"/>
      <c r="AD5" s="2230"/>
      <c r="AE5" s="2230"/>
      <c r="AF5" s="2231"/>
      <c r="AG5" s="2229" t="e">
        <f>INDEX(PT_DIFFERENTIATION_IST_TE,MATCH(D5,PT_DIFFERENTIATION_IST_TE_ID,0))</f>
        <v>#N/A</v>
      </c>
      <c r="AH5" s="2230"/>
      <c r="AI5" s="2230"/>
      <c r="AJ5" s="2230"/>
      <c r="AK5" s="2230"/>
      <c r="AL5" s="2230"/>
      <c r="AM5" s="2230"/>
      <c r="AN5" s="2230"/>
      <c r="AO5" s="2230"/>
      <c r="AP5" s="2231"/>
      <c r="AQ5" s="1140" t="s">
        <v>1466</v>
      </c>
      <c r="AS5" s="428"/>
      <c r="AT5" s="428" t="str">
        <f t="shared" si="0"/>
        <v xml:space="preserve">Источник тепловой энергии  </v>
      </c>
      <c r="AU5" s="428"/>
      <c r="AV5" s="428"/>
    </row>
    <row r="6" spans="1:48" ht="14.25" hidden="1" customHeight="1">
      <c r="A6" s="1149"/>
      <c r="B6" s="1149"/>
      <c r="C6" s="1149"/>
      <c r="D6" s="1149"/>
      <c r="E6" s="2270"/>
      <c r="F6" s="2270"/>
      <c r="G6" s="2270"/>
      <c r="H6" s="2270"/>
      <c r="I6" s="2021" t="e">
        <f>U5&amp;".1"</f>
        <v>#N/A</v>
      </c>
      <c r="J6" s="1149"/>
      <c r="K6" s="1149"/>
      <c r="L6" s="1149"/>
      <c r="M6" s="1196" t="s">
        <v>1467</v>
      </c>
      <c r="N6" s="437"/>
      <c r="Q6" s="2157">
        <v>1</v>
      </c>
      <c r="R6" s="1216"/>
      <c r="S6" s="1216"/>
      <c r="T6" s="280"/>
      <c r="U6" s="932"/>
      <c r="V6" s="1263"/>
      <c r="W6" s="1264"/>
      <c r="X6" s="2263"/>
      <c r="Y6" s="2264"/>
      <c r="Z6" s="2264"/>
      <c r="AA6" s="2264"/>
      <c r="AB6" s="2264"/>
      <c r="AC6" s="2264"/>
      <c r="AD6" s="2264"/>
      <c r="AE6" s="2264"/>
      <c r="AF6" s="2265"/>
      <c r="AG6" s="2263"/>
      <c r="AH6" s="2264"/>
      <c r="AI6" s="2264"/>
      <c r="AJ6" s="2264"/>
      <c r="AK6" s="2264"/>
      <c r="AL6" s="2264"/>
      <c r="AM6" s="2264"/>
      <c r="AN6" s="2264"/>
      <c r="AO6" s="2264"/>
      <c r="AP6" s="2265"/>
      <c r="AQ6" s="1265"/>
      <c r="AS6" s="428"/>
      <c r="AT6" s="428" t="str">
        <f t="shared" si="0"/>
        <v/>
      </c>
      <c r="AU6" s="428"/>
      <c r="AV6" s="428"/>
    </row>
    <row r="7" spans="1:48" ht="21" hidden="1" customHeight="1">
      <c r="A7" s="1149"/>
      <c r="B7" s="1149"/>
      <c r="C7" s="1149"/>
      <c r="D7" s="1149"/>
      <c r="E7" s="2270"/>
      <c r="F7" s="2270"/>
      <c r="G7" s="2270"/>
      <c r="H7" s="2270"/>
      <c r="I7" s="2003"/>
      <c r="J7" s="2021" t="e">
        <f>I6&amp;".1"</f>
        <v>#N/A</v>
      </c>
      <c r="K7" s="1149"/>
      <c r="L7" s="1149"/>
      <c r="M7" s="1196" t="s">
        <v>1470</v>
      </c>
      <c r="N7" s="437"/>
      <c r="O7" s="254"/>
      <c r="Q7" s="2157"/>
      <c r="R7" s="2157">
        <v>1</v>
      </c>
      <c r="S7" s="446"/>
      <c r="T7" s="281"/>
      <c r="U7" s="1221" t="e">
        <f>$J7</f>
        <v>#N/A</v>
      </c>
      <c r="V7" s="204" t="s">
        <v>1471</v>
      </c>
      <c r="W7" s="218"/>
      <c r="X7" s="2224"/>
      <c r="Y7" s="2225"/>
      <c r="Z7" s="2225"/>
      <c r="AA7" s="2225"/>
      <c r="AB7" s="2225"/>
      <c r="AC7" s="2134"/>
      <c r="AD7" s="2134"/>
      <c r="AE7" s="2134"/>
      <c r="AF7" s="2271"/>
      <c r="AG7" s="2224"/>
      <c r="AH7" s="2225"/>
      <c r="AI7" s="2225"/>
      <c r="AJ7" s="2225"/>
      <c r="AK7" s="2225"/>
      <c r="AL7" s="2225"/>
      <c r="AM7" s="2225"/>
      <c r="AN7" s="2225"/>
      <c r="AO7" s="2225"/>
      <c r="AP7" s="2226"/>
      <c r="AQ7" s="1140" t="s">
        <v>1472</v>
      </c>
      <c r="AS7" s="428"/>
      <c r="AT7" s="428" t="str">
        <f t="shared" si="0"/>
        <v>Группа потребителей</v>
      </c>
      <c r="AU7" s="428"/>
      <c r="AV7" s="428"/>
    </row>
    <row r="8" spans="1:48" ht="21" hidden="1" customHeight="1">
      <c r="A8" s="1149"/>
      <c r="B8" s="1149"/>
      <c r="C8" s="1149"/>
      <c r="D8" s="1149"/>
      <c r="E8" s="2270"/>
      <c r="F8" s="2270"/>
      <c r="G8" s="2270"/>
      <c r="H8" s="2270"/>
      <c r="I8" s="2003"/>
      <c r="J8" s="2003"/>
      <c r="K8" s="2021" t="e">
        <f>J7&amp;".1"</f>
        <v>#N/A</v>
      </c>
      <c r="L8" s="70"/>
      <c r="M8" s="1196" t="s">
        <v>1473</v>
      </c>
      <c r="N8" s="437"/>
      <c r="O8" s="254"/>
      <c r="P8" s="254"/>
      <c r="Q8" s="2157"/>
      <c r="R8" s="2157"/>
      <c r="S8" s="2157">
        <v>1</v>
      </c>
      <c r="T8" s="281"/>
      <c r="U8" s="1221" t="e">
        <f>$K8</f>
        <v>#N/A</v>
      </c>
      <c r="V8" s="1232"/>
      <c r="W8" s="218"/>
      <c r="X8" s="1667"/>
      <c r="Y8" s="1667"/>
      <c r="Z8" s="1667"/>
      <c r="AA8" s="1667"/>
      <c r="AB8" s="1679"/>
      <c r="AC8" s="2239"/>
      <c r="AD8" s="2031" t="s">
        <v>66</v>
      </c>
      <c r="AE8" s="2239"/>
      <c r="AF8" s="2031" t="s">
        <v>66</v>
      </c>
      <c r="AG8" s="1680"/>
      <c r="AH8" s="1667"/>
      <c r="AI8" s="1667"/>
      <c r="AJ8" s="1667"/>
      <c r="AK8" s="1669"/>
      <c r="AL8" s="2239"/>
      <c r="AM8" s="2031" t="s">
        <v>66</v>
      </c>
      <c r="AN8" s="2239"/>
      <c r="AO8" s="2031" t="s">
        <v>66</v>
      </c>
      <c r="AP8" s="1668"/>
      <c r="AQ8" s="1194" t="s">
        <v>1523</v>
      </c>
      <c r="AR8" s="439" t="e">
        <f ca="1">STRCHECKDATE(X10:AP10)</f>
        <v>#NAME?</v>
      </c>
      <c r="AS8" s="428"/>
      <c r="AT8" s="428" t="str">
        <f t="shared" si="0"/>
        <v/>
      </c>
      <c r="AU8" s="428"/>
      <c r="AV8" s="428"/>
    </row>
    <row r="9" spans="1:48" ht="21" hidden="1" customHeight="1">
      <c r="A9" s="1149"/>
      <c r="B9" s="1149"/>
      <c r="C9" s="1149"/>
      <c r="D9" s="1149"/>
      <c r="E9" s="2270"/>
      <c r="F9" s="2270"/>
      <c r="G9" s="2270"/>
      <c r="H9" s="2270"/>
      <c r="I9" s="2003"/>
      <c r="J9" s="2003"/>
      <c r="K9" s="2003"/>
      <c r="L9" s="2021" t="e">
        <f>K8&amp;".1"</f>
        <v>#N/A</v>
      </c>
      <c r="M9" s="1196"/>
      <c r="N9" s="437"/>
      <c r="O9" s="254"/>
      <c r="P9" s="254"/>
      <c r="Q9" s="2157"/>
      <c r="R9" s="2157"/>
      <c r="S9" s="2157"/>
      <c r="T9" s="281"/>
      <c r="U9" s="1221" t="e">
        <f>$L9</f>
        <v>#N/A</v>
      </c>
      <c r="V9" s="1270"/>
      <c r="W9" s="218"/>
      <c r="X9" s="1668"/>
      <c r="Y9" s="1667"/>
      <c r="Z9" s="1667"/>
      <c r="AA9" s="1667"/>
      <c r="AB9" s="1679"/>
      <c r="AC9" s="2240"/>
      <c r="AD9" s="2031"/>
      <c r="AE9" s="2240"/>
      <c r="AF9" s="2031"/>
      <c r="AG9" s="1680"/>
      <c r="AH9" s="1667"/>
      <c r="AI9" s="1667"/>
      <c r="AJ9" s="1667"/>
      <c r="AK9" s="1669"/>
      <c r="AL9" s="2240"/>
      <c r="AM9" s="2031"/>
      <c r="AN9" s="2240"/>
      <c r="AO9" s="2031"/>
      <c r="AP9" s="1668"/>
      <c r="AQ9" s="2257" t="s">
        <v>1524</v>
      </c>
      <c r="AS9" s="428"/>
      <c r="AT9" s="428"/>
      <c r="AU9" s="428"/>
      <c r="AV9" s="428"/>
    </row>
    <row r="10" spans="1:48" ht="0.75" hidden="1" customHeight="1">
      <c r="A10" s="1149"/>
      <c r="B10" s="1149"/>
      <c r="C10" s="1149"/>
      <c r="D10" s="1149"/>
      <c r="E10" s="2270"/>
      <c r="F10" s="2270"/>
      <c r="G10" s="2270"/>
      <c r="H10" s="2270"/>
      <c r="I10" s="2003"/>
      <c r="J10" s="2003"/>
      <c r="K10" s="2003"/>
      <c r="L10" s="2021"/>
      <c r="M10" s="1196"/>
      <c r="N10" s="437"/>
      <c r="O10" s="254"/>
      <c r="P10" s="254"/>
      <c r="Q10" s="2157"/>
      <c r="R10" s="2157"/>
      <c r="S10" s="2157"/>
      <c r="T10" s="281"/>
      <c r="U10" s="1227"/>
      <c r="V10" s="218"/>
      <c r="W10" s="218"/>
      <c r="X10" s="1668"/>
      <c r="Y10" s="1668"/>
      <c r="Z10" s="1668"/>
      <c r="AA10" s="1668"/>
      <c r="AB10" s="1681" t="str">
        <f>AC8&amp;"-"&amp;AE8</f>
        <v>-</v>
      </c>
      <c r="AC10" s="2240"/>
      <c r="AD10" s="2031"/>
      <c r="AE10" s="2240"/>
      <c r="AF10" s="2031"/>
      <c r="AG10" s="1682"/>
      <c r="AH10" s="1668"/>
      <c r="AI10" s="1668"/>
      <c r="AJ10" s="1668"/>
      <c r="AK10" s="1670" t="str">
        <f>AL8&amp;"-"&amp;AN8</f>
        <v>-</v>
      </c>
      <c r="AL10" s="2240"/>
      <c r="AM10" s="2031"/>
      <c r="AN10" s="2240"/>
      <c r="AO10" s="2031"/>
      <c r="AP10" s="1668"/>
      <c r="AQ10" s="2258"/>
      <c r="AS10" s="428"/>
      <c r="AT10" s="428" t="str">
        <f>IF(V10="","",V10)</f>
        <v/>
      </c>
      <c r="AU10" s="428"/>
      <c r="AV10" s="428"/>
    </row>
    <row r="11" spans="1:48" ht="11.25" hidden="1" customHeight="1">
      <c r="A11" s="1149"/>
      <c r="B11" s="1149"/>
      <c r="C11" s="1149"/>
      <c r="D11" s="1149"/>
      <c r="E11" s="2270"/>
      <c r="F11" s="2270"/>
      <c r="G11" s="2270"/>
      <c r="H11" s="2270"/>
      <c r="I11" s="2003"/>
      <c r="J11" s="2003"/>
      <c r="K11" s="2021"/>
      <c r="L11" s="1149"/>
      <c r="M11" s="1196"/>
      <c r="N11" s="437"/>
      <c r="O11" s="254"/>
      <c r="P11" s="254"/>
      <c r="Q11" s="2157"/>
      <c r="R11" s="2157"/>
      <c r="S11" s="2157"/>
      <c r="T11" s="281"/>
      <c r="U11" s="1161"/>
      <c r="V11" s="206" t="s">
        <v>1525</v>
      </c>
      <c r="W11" s="1271"/>
      <c r="X11" s="1683"/>
      <c r="Y11" s="1683"/>
      <c r="Z11" s="1683"/>
      <c r="AA11" s="1683"/>
      <c r="AB11" s="1684"/>
      <c r="AC11" s="2240"/>
      <c r="AD11" s="2031"/>
      <c r="AE11" s="2240"/>
      <c r="AF11" s="2031"/>
      <c r="AG11" s="1683"/>
      <c r="AH11" s="1683"/>
      <c r="AI11" s="1683"/>
      <c r="AJ11" s="1683"/>
      <c r="AK11" s="1684"/>
      <c r="AL11" s="2240"/>
      <c r="AM11" s="2031"/>
      <c r="AN11" s="2240"/>
      <c r="AO11" s="2031"/>
      <c r="AP11" s="1685"/>
      <c r="AQ11" s="2258"/>
      <c r="AS11" s="428"/>
      <c r="AT11" s="428"/>
      <c r="AU11" s="428"/>
      <c r="AV11" s="428"/>
    </row>
    <row r="12" spans="1:48" ht="15" hidden="1" customHeight="1">
      <c r="A12" s="1149"/>
      <c r="B12" s="1149"/>
      <c r="C12" s="1149"/>
      <c r="D12" s="1149"/>
      <c r="E12" s="2270"/>
      <c r="F12" s="2270"/>
      <c r="G12" s="2270"/>
      <c r="H12" s="2270"/>
      <c r="I12" s="2003"/>
      <c r="J12" s="2021"/>
      <c r="K12" s="1149"/>
      <c r="L12" s="1149"/>
      <c r="M12" s="1196"/>
      <c r="N12" s="437"/>
      <c r="O12" s="254"/>
      <c r="Q12" s="2157"/>
      <c r="R12" s="2157"/>
      <c r="S12" s="1216"/>
      <c r="T12" s="280"/>
      <c r="U12" s="1161"/>
      <c r="V12" s="205" t="s">
        <v>1475</v>
      </c>
      <c r="W12" s="294"/>
      <c r="X12" s="294"/>
      <c r="Y12" s="294"/>
      <c r="Z12" s="294"/>
      <c r="AA12" s="294"/>
      <c r="AB12" s="294"/>
      <c r="AC12" s="1278"/>
      <c r="AD12" s="1278"/>
      <c r="AE12" s="1278"/>
      <c r="AF12" s="1278"/>
      <c r="AG12" s="294"/>
      <c r="AH12" s="294"/>
      <c r="AI12" s="294"/>
      <c r="AJ12" s="294"/>
      <c r="AK12" s="294"/>
      <c r="AL12" s="294"/>
      <c r="AM12" s="294"/>
      <c r="AN12" s="294"/>
      <c r="AO12" s="294"/>
      <c r="AP12" s="251"/>
      <c r="AQ12" s="2259"/>
      <c r="AS12" s="428"/>
      <c r="AT12" s="428" t="str">
        <f t="shared" ref="AT12:AT17" si="1">IF(V12="","",V12)</f>
        <v>Добавить вид теплоносителя (параметры теплоносителя)</v>
      </c>
      <c r="AU12" s="428"/>
      <c r="AV12" s="428"/>
    </row>
    <row r="13" spans="1:48" ht="15" hidden="1" customHeight="1">
      <c r="A13" s="1149"/>
      <c r="B13" s="1149"/>
      <c r="C13" s="1149"/>
      <c r="D13" s="1149"/>
      <c r="E13" s="2270"/>
      <c r="F13" s="2270"/>
      <c r="G13" s="2270"/>
      <c r="H13" s="2270"/>
      <c r="I13" s="2021"/>
      <c r="J13" s="1149"/>
      <c r="K13" s="1149"/>
      <c r="L13" s="1149"/>
      <c r="M13" s="1196"/>
      <c r="N13" s="437"/>
      <c r="Q13" s="2157"/>
      <c r="R13" s="1216"/>
      <c r="S13" s="1216"/>
      <c r="T13" s="280"/>
      <c r="U13" s="1161"/>
      <c r="V13" s="291" t="s">
        <v>1476</v>
      </c>
      <c r="W13" s="294"/>
      <c r="X13" s="294"/>
      <c r="Y13" s="294"/>
      <c r="Z13" s="294"/>
      <c r="AA13" s="294"/>
      <c r="AB13" s="294"/>
      <c r="AC13" s="294"/>
      <c r="AD13" s="294"/>
      <c r="AE13" s="294"/>
      <c r="AF13" s="293"/>
      <c r="AG13" s="294"/>
      <c r="AH13" s="294"/>
      <c r="AI13" s="294"/>
      <c r="AJ13" s="294"/>
      <c r="AK13" s="294"/>
      <c r="AL13" s="294"/>
      <c r="AM13" s="294"/>
      <c r="AN13" s="294"/>
      <c r="AO13" s="293"/>
      <c r="AP13" s="294"/>
      <c r="AQ13" s="221"/>
      <c r="AS13" s="428"/>
      <c r="AT13" s="428" t="str">
        <f t="shared" si="1"/>
        <v>Добавить группу потребителей</v>
      </c>
      <c r="AU13" s="428"/>
      <c r="AV13" s="428"/>
    </row>
    <row r="14" spans="1:48" ht="14.25" hidden="1" customHeight="1">
      <c r="A14" s="1149"/>
      <c r="B14" s="1149"/>
      <c r="C14" s="1149"/>
      <c r="D14" s="1149"/>
      <c r="E14" s="2270"/>
      <c r="F14" s="2270"/>
      <c r="G14" s="2270"/>
      <c r="H14" s="2269"/>
      <c r="I14" s="1149"/>
      <c r="J14" s="1149"/>
      <c r="K14" s="1149"/>
      <c r="L14" s="1149"/>
      <c r="M14" s="1196"/>
      <c r="N14" s="603"/>
      <c r="O14" s="603"/>
      <c r="P14" s="437"/>
      <c r="Q14" s="284"/>
      <c r="R14" s="303"/>
      <c r="S14" s="279"/>
      <c r="T14" s="284"/>
      <c r="U14" s="1266"/>
      <c r="V14" s="1267"/>
      <c r="W14" s="1268"/>
      <c r="X14" s="1268"/>
      <c r="Y14" s="1268"/>
      <c r="Z14" s="1268"/>
      <c r="AA14" s="1268"/>
      <c r="AB14" s="1268"/>
      <c r="AC14" s="1268"/>
      <c r="AD14" s="1268"/>
      <c r="AE14" s="1268"/>
      <c r="AF14" s="1268"/>
      <c r="AG14" s="1268"/>
      <c r="AH14" s="1268"/>
      <c r="AI14" s="1268"/>
      <c r="AJ14" s="1268"/>
      <c r="AK14" s="1268"/>
      <c r="AL14" s="1268"/>
      <c r="AM14" s="1268"/>
      <c r="AN14" s="1268"/>
      <c r="AO14" s="1268"/>
      <c r="AP14" s="1268"/>
      <c r="AQ14" s="1269"/>
      <c r="AS14" s="428"/>
      <c r="AT14" s="428" t="str">
        <f t="shared" si="1"/>
        <v/>
      </c>
      <c r="AU14" s="428"/>
      <c r="AV14" s="428"/>
    </row>
    <row r="15" spans="1:48" s="1772" customFormat="1" ht="0.75" hidden="1" customHeight="1">
      <c r="A15" s="1255"/>
      <c r="B15" s="1255"/>
      <c r="C15" s="1255"/>
      <c r="D15" s="1255"/>
      <c r="E15" s="2270"/>
      <c r="F15" s="2270"/>
      <c r="G15" s="2269"/>
      <c r="H15" s="1255"/>
      <c r="I15" s="1255"/>
      <c r="J15" s="1255"/>
      <c r="K15" s="1255"/>
      <c r="L15" s="1255"/>
      <c r="M15" s="1258"/>
      <c r="N15" s="1259"/>
      <c r="O15" s="1259"/>
      <c r="P15" s="275"/>
      <c r="Q15" s="1202"/>
      <c r="R15" s="1203"/>
      <c r="S15" s="1202"/>
      <c r="T15" s="1202"/>
      <c r="U15" s="1204"/>
      <c r="V15" s="1205" t="s">
        <v>1436</v>
      </c>
      <c r="W15" s="1206"/>
      <c r="X15" s="1206"/>
      <c r="Y15" s="1206"/>
      <c r="Z15" s="1206"/>
      <c r="AA15" s="1206"/>
      <c r="AB15" s="1206"/>
      <c r="AC15" s="1206"/>
      <c r="AD15" s="1206"/>
      <c r="AE15" s="1206"/>
      <c r="AF15" s="1206"/>
      <c r="AG15" s="1206"/>
      <c r="AH15" s="1206"/>
      <c r="AI15" s="1206"/>
      <c r="AJ15" s="1206"/>
      <c r="AK15" s="1206"/>
      <c r="AL15" s="1206"/>
      <c r="AM15" s="1206"/>
      <c r="AN15" s="1206"/>
      <c r="AO15" s="1206"/>
      <c r="AP15" s="1206"/>
      <c r="AQ15" s="1206"/>
      <c r="AS15" s="696"/>
      <c r="AT15" s="696" t="str">
        <f t="shared" si="1"/>
        <v>Добавить источник для дифференциации</v>
      </c>
      <c r="AU15" s="696"/>
      <c r="AV15" s="696"/>
    </row>
    <row r="16" spans="1:48" s="1772" customFormat="1" ht="0.75" hidden="1" customHeight="1">
      <c r="A16" s="1255"/>
      <c r="B16" s="1255"/>
      <c r="C16" s="1255"/>
      <c r="D16" s="1255"/>
      <c r="E16" s="2270"/>
      <c r="F16" s="2269"/>
      <c r="G16" s="1255"/>
      <c r="H16" s="1255"/>
      <c r="I16" s="1255"/>
      <c r="J16" s="1255"/>
      <c r="K16" s="1255"/>
      <c r="L16" s="1255"/>
      <c r="M16" s="1258"/>
      <c r="N16" s="1260"/>
      <c r="O16" s="1260"/>
      <c r="P16" s="275"/>
      <c r="Q16" s="1202"/>
      <c r="R16" s="1203"/>
      <c r="S16" s="1202"/>
      <c r="T16" s="1202"/>
      <c r="U16" s="1208"/>
      <c r="V16" s="1209" t="s">
        <v>1437</v>
      </c>
      <c r="W16" s="1210"/>
      <c r="X16" s="1210"/>
      <c r="Y16" s="1210"/>
      <c r="Z16" s="1210"/>
      <c r="AA16" s="1210"/>
      <c r="AB16" s="1210"/>
      <c r="AC16" s="1210"/>
      <c r="AD16" s="1210"/>
      <c r="AE16" s="1210"/>
      <c r="AF16" s="1210"/>
      <c r="AG16" s="1210"/>
      <c r="AH16" s="1210"/>
      <c r="AI16" s="1210"/>
      <c r="AJ16" s="1210"/>
      <c r="AK16" s="1210"/>
      <c r="AL16" s="1210"/>
      <c r="AM16" s="1210"/>
      <c r="AN16" s="1210"/>
      <c r="AO16" s="1210"/>
      <c r="AP16" s="1210"/>
      <c r="AQ16" s="1210"/>
      <c r="AS16" s="696"/>
      <c r="AT16" s="696" t="str">
        <f t="shared" si="1"/>
        <v>Добавить централизованную систему для дифференциации</v>
      </c>
      <c r="AU16" s="696"/>
      <c r="AV16" s="696"/>
    </row>
    <row r="17" spans="1:48" s="1772" customFormat="1" ht="0.75" hidden="1" customHeight="1">
      <c r="A17" s="1255"/>
      <c r="B17" s="1255"/>
      <c r="C17" s="1255"/>
      <c r="D17" s="1255"/>
      <c r="E17" s="2269"/>
      <c r="F17" s="1255"/>
      <c r="G17" s="1255"/>
      <c r="H17" s="1255"/>
      <c r="I17" s="1255"/>
      <c r="J17" s="1255"/>
      <c r="K17" s="1255"/>
      <c r="L17" s="1255"/>
      <c r="M17" s="1258"/>
      <c r="N17" s="1260"/>
      <c r="O17" s="1260"/>
      <c r="P17" s="275"/>
      <c r="Q17" s="1202"/>
      <c r="R17" s="1203"/>
      <c r="S17" s="1202"/>
      <c r="T17" s="1202"/>
      <c r="U17" s="1208"/>
      <c r="V17" s="1211" t="s">
        <v>1438</v>
      </c>
      <c r="W17" s="1210"/>
      <c r="X17" s="1210"/>
      <c r="Y17" s="1210"/>
      <c r="Z17" s="1210"/>
      <c r="AA17" s="1210"/>
      <c r="AB17" s="1210"/>
      <c r="AC17" s="1210"/>
      <c r="AD17" s="1210"/>
      <c r="AE17" s="1210"/>
      <c r="AF17" s="1210"/>
      <c r="AG17" s="1210"/>
      <c r="AH17" s="1210"/>
      <c r="AI17" s="1210"/>
      <c r="AJ17" s="1210"/>
      <c r="AK17" s="1210"/>
      <c r="AL17" s="1210"/>
      <c r="AM17" s="1210"/>
      <c r="AN17" s="1210"/>
      <c r="AO17" s="1210"/>
      <c r="AP17" s="1210"/>
      <c r="AQ17" s="1210"/>
      <c r="AS17" s="696"/>
      <c r="AT17" s="696" t="str">
        <f t="shared" si="1"/>
        <v>Добавить территорию для дифференциации</v>
      </c>
      <c r="AU17" s="696"/>
      <c r="AV17" s="696"/>
    </row>
    <row r="18" spans="1:48" ht="14.25" hidden="1" customHeight="1">
      <c r="AF18" s="254"/>
      <c r="AO18" s="254"/>
    </row>
    <row r="19" spans="1:48" ht="14.25" hidden="1" customHeight="1">
      <c r="AG19" s="1671"/>
      <c r="AH19" s="1671"/>
      <c r="AI19" s="1671"/>
      <c r="AJ19" s="1671"/>
      <c r="AK19" s="1672"/>
      <c r="AL19" s="2233"/>
      <c r="AM19" s="2232" t="s">
        <v>66</v>
      </c>
      <c r="AN19" s="2233"/>
      <c r="AO19" s="2232" t="s">
        <v>66</v>
      </c>
    </row>
    <row r="20" spans="1:48" ht="14.25" hidden="1" customHeight="1">
      <c r="AG20" s="1671"/>
      <c r="AH20" s="1671"/>
      <c r="AI20" s="1671"/>
      <c r="AJ20" s="1671"/>
      <c r="AK20" s="1672"/>
      <c r="AL20" s="2233"/>
      <c r="AM20" s="2232"/>
      <c r="AN20" s="2233"/>
      <c r="AO20" s="2232"/>
    </row>
    <row r="21" spans="1:48" ht="14.25" hidden="1" customHeight="1">
      <c r="AG21" s="1671"/>
      <c r="AH21" s="1671"/>
      <c r="AI21" s="1671"/>
      <c r="AJ21" s="1671"/>
      <c r="AK21" s="1672"/>
      <c r="AL21" s="2233"/>
      <c r="AM21" s="2232"/>
      <c r="AN21" s="2233"/>
      <c r="AO21" s="2232"/>
    </row>
    <row r="22" spans="1:48" ht="14.25" hidden="1" customHeight="1">
      <c r="AG22" s="1671"/>
      <c r="AH22" s="1671"/>
      <c r="AI22" s="1671"/>
      <c r="AJ22" s="1671"/>
      <c r="AK22" s="1670" t="str">
        <f>AL19&amp;"-"&amp;AN19</f>
        <v>-</v>
      </c>
      <c r="AL22" s="2232"/>
      <c r="AM22" s="2232"/>
      <c r="AN22" s="2232"/>
      <c r="AO22" s="2232"/>
    </row>
    <row r="23" spans="1:48" ht="14.25" hidden="1" customHeight="1">
      <c r="AO23" s="254"/>
    </row>
    <row r="24" spans="1:48" s="1759" customFormat="1" ht="22.5" hidden="1" customHeight="1">
      <c r="A24" s="1031"/>
      <c r="B24" s="1031"/>
      <c r="C24" s="1031"/>
      <c r="D24" s="1031"/>
      <c r="E24" s="1031"/>
      <c r="F24" s="1031"/>
      <c r="G24" s="1031"/>
      <c r="H24" s="1031"/>
      <c r="I24" s="1031"/>
      <c r="J24" s="1031"/>
      <c r="K24" s="1031"/>
      <c r="L24" s="1031"/>
      <c r="M24" s="1212"/>
      <c r="N24" s="1213"/>
      <c r="O24" s="1213"/>
      <c r="P24" s="1230" t="s">
        <v>1478</v>
      </c>
      <c r="Q24" s="1243"/>
      <c r="R24" s="1252"/>
      <c r="S24" s="1252"/>
      <c r="T24" s="1252"/>
      <c r="U24" s="644"/>
      <c r="AC24" s="1248"/>
      <c r="AE24" s="1248"/>
      <c r="AF24" s="1247"/>
      <c r="AL24" s="1248"/>
      <c r="AN24" s="1248"/>
      <c r="AO24" s="1247"/>
      <c r="AR24" s="439"/>
      <c r="AS24" s="439"/>
      <c r="AT24" s="439"/>
      <c r="AU24" s="439"/>
      <c r="AV24" s="439"/>
    </row>
    <row r="25" spans="1:48" s="1759" customFormat="1" ht="14.25" hidden="1" customHeight="1">
      <c r="A25" s="1031"/>
      <c r="B25" s="1031"/>
      <c r="C25" s="1031"/>
      <c r="D25" s="1031"/>
      <c r="E25" s="1031"/>
      <c r="F25" s="1031"/>
      <c r="G25" s="1031"/>
      <c r="H25" s="1031"/>
      <c r="I25" s="1031"/>
      <c r="J25" s="1031"/>
      <c r="K25" s="1031"/>
      <c r="L25" s="1031"/>
      <c r="M25" s="1212"/>
      <c r="N25" s="1213"/>
      <c r="O25" s="1213"/>
      <c r="P25" s="1213"/>
      <c r="Q25" s="1243"/>
      <c r="R25" s="1252"/>
      <c r="S25" s="1252"/>
      <c r="T25" s="1252"/>
      <c r="U25" s="644"/>
      <c r="AF25" s="1247"/>
      <c r="AO25" s="1247"/>
      <c r="AR25" s="439"/>
      <c r="AS25" s="439"/>
      <c r="AT25" s="439"/>
      <c r="AU25" s="439"/>
      <c r="AV25" s="439"/>
    </row>
    <row r="26" spans="1:48" s="1759" customFormat="1" ht="14.25" hidden="1" customHeight="1">
      <c r="A26" s="1031"/>
      <c r="B26" s="1031"/>
      <c r="C26" s="1031"/>
      <c r="D26" s="1031"/>
      <c r="E26" s="1031"/>
      <c r="F26" s="1031"/>
      <c r="G26" s="1031"/>
      <c r="H26" s="1031"/>
      <c r="I26" s="1031"/>
      <c r="J26" s="1031"/>
      <c r="K26" s="1031"/>
      <c r="L26" s="1031"/>
      <c r="M26" s="1212"/>
      <c r="N26" s="1213"/>
      <c r="O26" s="1213"/>
      <c r="P26" s="1196" t="s">
        <v>1479</v>
      </c>
      <c r="Q26" s="1243"/>
      <c r="R26" s="1252"/>
      <c r="S26" s="1252"/>
      <c r="T26" s="1252"/>
      <c r="U26" s="644"/>
      <c r="V26" s="1036" t="s">
        <v>1480</v>
      </c>
      <c r="AD26" s="111" t="s">
        <v>1481</v>
      </c>
      <c r="AF26" s="111" t="s">
        <v>1482</v>
      </c>
      <c r="AG26" s="1036" t="s">
        <v>1480</v>
      </c>
      <c r="AM26" s="111" t="s">
        <v>1483</v>
      </c>
      <c r="AO26" s="111" t="s">
        <v>1482</v>
      </c>
      <c r="AR26" s="439"/>
      <c r="AS26" s="439"/>
      <c r="AT26" s="439"/>
      <c r="AU26" s="439"/>
      <c r="AV26" s="439"/>
    </row>
    <row r="27" spans="1:48" ht="14.25" hidden="1" customHeight="1">
      <c r="P27" s="1196"/>
    </row>
    <row r="28" spans="1:48" ht="14.25" hidden="1" customHeight="1">
      <c r="P28" s="1196"/>
    </row>
    <row r="29" spans="1:48" ht="14.25" customHeight="1">
      <c r="R29" s="304"/>
      <c r="S29" s="304"/>
      <c r="T29" s="304"/>
      <c r="U29" s="1158"/>
      <c r="V29" s="289"/>
      <c r="W29" s="289"/>
      <c r="X29" s="437"/>
      <c r="Y29" s="437"/>
      <c r="Z29" s="437"/>
      <c r="AA29" s="437"/>
      <c r="AB29" s="437"/>
      <c r="AC29" s="437"/>
      <c r="AD29" s="437"/>
      <c r="AE29" s="437"/>
      <c r="AF29" s="437"/>
      <c r="AG29" s="437"/>
      <c r="AH29" s="437"/>
      <c r="AI29" s="437"/>
      <c r="AJ29" s="437"/>
      <c r="AK29" s="437"/>
      <c r="AL29" s="437"/>
      <c r="AM29" s="437"/>
      <c r="AN29" s="437"/>
      <c r="AO29" s="437"/>
    </row>
    <row r="30" spans="1:48" ht="64.5" customHeight="1">
      <c r="R30" s="304"/>
      <c r="S30" s="304"/>
      <c r="T30" s="304"/>
      <c r="U30" s="2079" t="str">
        <f>IF(TEMPLATE_GROUP="P",PT_P_FORM_HEAT_6_NAME_FORM,PT_R_FORM_HEAT_23_NAME_FORM)</f>
        <v>Форма 23. Информация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079"/>
      <c r="W30" s="2079"/>
      <c r="X30" s="2079"/>
      <c r="Y30" s="2079"/>
      <c r="Z30" s="2079"/>
      <c r="AA30" s="2079"/>
      <c r="AB30" s="2079"/>
      <c r="AC30" s="2079"/>
      <c r="AD30" s="2079"/>
      <c r="AE30" s="2079"/>
      <c r="AF30" s="2079"/>
      <c r="AG30" s="2079"/>
      <c r="AH30" s="2079"/>
      <c r="AI30" s="2079"/>
      <c r="AJ30" s="2079"/>
      <c r="AK30" s="2079"/>
      <c r="AL30" s="2079"/>
      <c r="AM30" s="2079"/>
      <c r="AN30" s="2079"/>
      <c r="AO30" s="1116"/>
    </row>
    <row r="31" spans="1:48" ht="14.25" customHeight="1">
      <c r="R31" s="304"/>
      <c r="S31" s="304"/>
      <c r="T31" s="304"/>
      <c r="U31" s="2102" t="str">
        <f>IF(org=0,"Не определено",org)</f>
        <v>ООО "Автозаводская ТЭЦ"</v>
      </c>
      <c r="V31" s="2102"/>
      <c r="W31" s="2102"/>
      <c r="X31" s="2102"/>
      <c r="Y31" s="2102"/>
      <c r="Z31" s="2102"/>
      <c r="AA31" s="2102"/>
      <c r="AB31" s="2102"/>
      <c r="AC31" s="2102"/>
      <c r="AD31" s="2102"/>
      <c r="AE31" s="2102"/>
      <c r="AF31" s="2102"/>
      <c r="AG31" s="2102"/>
      <c r="AH31" s="2102"/>
      <c r="AI31" s="2102"/>
      <c r="AJ31" s="2102"/>
      <c r="AK31" s="2102"/>
      <c r="AL31" s="2102"/>
      <c r="AM31" s="2102"/>
      <c r="AN31" s="2102"/>
      <c r="AO31" s="1116"/>
    </row>
    <row r="32" spans="1:48" ht="14.25" hidden="1" customHeight="1">
      <c r="R32" s="304"/>
      <c r="S32" s="304"/>
      <c r="T32" s="304"/>
      <c r="U32" s="1158"/>
      <c r="V32" s="289"/>
      <c r="W32" s="289"/>
      <c r="X32" s="248"/>
      <c r="Y32" s="248"/>
      <c r="Z32" s="248"/>
      <c r="AA32" s="248"/>
      <c r="AB32" s="248"/>
      <c r="AC32" s="248"/>
      <c r="AD32" s="248"/>
      <c r="AE32" s="248"/>
      <c r="AF32" s="248"/>
      <c r="AG32" s="248"/>
      <c r="AH32" s="248"/>
      <c r="AI32" s="248"/>
      <c r="AJ32" s="248"/>
      <c r="AK32" s="248"/>
      <c r="AL32" s="248"/>
      <c r="AM32" s="248"/>
      <c r="AN32" s="248"/>
      <c r="AO32" s="248"/>
      <c r="AP32" s="437"/>
    </row>
    <row r="33" spans="1:48" s="1950" customFormat="1" ht="25.5" hidden="1" customHeight="1">
      <c r="A33" s="1122"/>
      <c r="B33" s="1122"/>
      <c r="C33" s="1122"/>
      <c r="D33" s="1122"/>
      <c r="E33" s="1122"/>
      <c r="F33" s="1122"/>
      <c r="G33" s="1122"/>
      <c r="H33" s="1122"/>
      <c r="I33" s="1122"/>
      <c r="J33" s="1122"/>
      <c r="K33" s="1122"/>
      <c r="L33" s="1122"/>
      <c r="M33" s="1261"/>
      <c r="N33" s="1122"/>
      <c r="O33" s="1122"/>
      <c r="P33" s="1122"/>
      <c r="U33" s="2227" t="s">
        <v>38</v>
      </c>
      <c r="V33" s="2227"/>
      <c r="W33" s="1253"/>
      <c r="X33" s="2228" t="str">
        <f>IF(TITLE_NAME_OR_PR_CHANGE="",IF(TITLE_NAME_OR_PR="","",TITLE_NAME_OR_PR),TITLE_NAME_OR_PR_CHANGE)</f>
        <v/>
      </c>
      <c r="Y33" s="2228"/>
      <c r="Z33" s="2228"/>
      <c r="AA33" s="2228"/>
      <c r="AB33" s="2228"/>
      <c r="AC33" s="2228"/>
      <c r="AD33" s="2228"/>
      <c r="AE33" s="2228"/>
      <c r="AF33" s="253"/>
      <c r="AG33" s="2228" t="str">
        <f>IF(TITLE_NAME_OR_PR_CHANGE="",IF(TITLE_NAME_OR_PR="","",TITLE_NAME_OR_PR),TITLE_NAME_OR_PR_CHANGE)</f>
        <v/>
      </c>
      <c r="AH33" s="2228"/>
      <c r="AI33" s="2228"/>
      <c r="AJ33" s="2228"/>
      <c r="AK33" s="2228"/>
      <c r="AL33" s="2228"/>
      <c r="AM33" s="2228"/>
      <c r="AN33" s="2228"/>
      <c r="AO33" s="253"/>
      <c r="AP33" s="253"/>
      <c r="AQ33" s="199"/>
      <c r="AR33" s="295"/>
      <c r="AS33" s="295"/>
      <c r="AT33" s="295"/>
      <c r="AU33" s="295"/>
      <c r="AV33" s="295"/>
    </row>
    <row r="34" spans="1:48" s="1950" customFormat="1" ht="18.75" hidden="1" customHeight="1">
      <c r="A34" s="1122"/>
      <c r="B34" s="1122"/>
      <c r="C34" s="1122"/>
      <c r="D34" s="1122"/>
      <c r="E34" s="1122"/>
      <c r="F34" s="1122"/>
      <c r="G34" s="1122"/>
      <c r="H34" s="1122"/>
      <c r="I34" s="1122"/>
      <c r="J34" s="1122"/>
      <c r="K34" s="1122"/>
      <c r="L34" s="1122"/>
      <c r="M34" s="1261"/>
      <c r="N34" s="1122"/>
      <c r="O34" s="1122"/>
      <c r="P34" s="1122"/>
      <c r="U34" s="2227" t="s">
        <v>1484</v>
      </c>
      <c r="V34" s="2227"/>
      <c r="W34" s="1253"/>
      <c r="X34" s="2228" t="str">
        <f>IF(TITLE_DATE_CHANGE_PERIOD="",IF(TITLE_DATE_PR="","",TITLE_DATE_PR),TITLE_DATE_CHANGE_PERIOD)</f>
        <v/>
      </c>
      <c r="Y34" s="2228"/>
      <c r="Z34" s="2228"/>
      <c r="AA34" s="2228"/>
      <c r="AB34" s="2228"/>
      <c r="AC34" s="2228"/>
      <c r="AD34" s="2228"/>
      <c r="AE34" s="2228"/>
      <c r="AF34" s="253"/>
      <c r="AG34" s="2228" t="str">
        <f>IF(TITLE_DATE_CHANGE_PERIOD="",IF(TITLE_DATE_PR="","",TITLE_DATE_PR),TITLE_DATE_CHANGE_PERIOD)</f>
        <v/>
      </c>
      <c r="AH34" s="2228"/>
      <c r="AI34" s="2228"/>
      <c r="AJ34" s="2228"/>
      <c r="AK34" s="2228"/>
      <c r="AL34" s="2228"/>
      <c r="AM34" s="2228"/>
      <c r="AN34" s="2228"/>
      <c r="AO34" s="253"/>
      <c r="AP34" s="253"/>
      <c r="AQ34" s="199"/>
      <c r="AR34" s="295"/>
      <c r="AS34" s="295"/>
      <c r="AT34" s="295"/>
      <c r="AU34" s="295"/>
      <c r="AV34" s="295"/>
    </row>
    <row r="35" spans="1:48" s="1950" customFormat="1" ht="18.75" hidden="1" customHeight="1">
      <c r="A35" s="1122"/>
      <c r="B35" s="1122"/>
      <c r="C35" s="1122"/>
      <c r="D35" s="1122"/>
      <c r="E35" s="1122"/>
      <c r="F35" s="1122"/>
      <c r="G35" s="1122"/>
      <c r="H35" s="1122"/>
      <c r="I35" s="1122"/>
      <c r="J35" s="1122"/>
      <c r="K35" s="1122"/>
      <c r="L35" s="1122"/>
      <c r="M35" s="1261"/>
      <c r="N35" s="1122"/>
      <c r="O35" s="1122"/>
      <c r="P35" s="1122"/>
      <c r="U35" s="2227" t="s">
        <v>1485</v>
      </c>
      <c r="V35" s="2227"/>
      <c r="W35" s="1253"/>
      <c r="X35" s="2228" t="str">
        <f>IF(TITLE_NUMBER_PR_CHANGE="",IF(TITLE_NUMBER_PR="","",TITLE_NUMBER_PR),TITLE_NUMBER_PR_CHANGE)</f>
        <v/>
      </c>
      <c r="Y35" s="2228"/>
      <c r="Z35" s="2228"/>
      <c r="AA35" s="2228"/>
      <c r="AB35" s="2228"/>
      <c r="AC35" s="2228"/>
      <c r="AD35" s="2228"/>
      <c r="AE35" s="2228"/>
      <c r="AF35" s="253"/>
      <c r="AG35" s="2228" t="str">
        <f>IF(TITLE_NUMBER_PR_CHANGE="",IF(TITLE_NUMBER_PR="","",TITLE_NUMBER_PR),TITLE_NUMBER_PR_CHANGE)</f>
        <v/>
      </c>
      <c r="AH35" s="2228"/>
      <c r="AI35" s="2228"/>
      <c r="AJ35" s="2228"/>
      <c r="AK35" s="2228"/>
      <c r="AL35" s="2228"/>
      <c r="AM35" s="2228"/>
      <c r="AN35" s="2228"/>
      <c r="AO35" s="253"/>
      <c r="AP35" s="253"/>
      <c r="AQ35" s="199"/>
      <c r="AR35" s="295"/>
      <c r="AS35" s="295"/>
      <c r="AT35" s="295"/>
      <c r="AU35" s="295"/>
      <c r="AV35" s="295"/>
    </row>
    <row r="36" spans="1:48" s="1950" customFormat="1" ht="18.75" hidden="1" customHeight="1">
      <c r="A36" s="1122"/>
      <c r="B36" s="1122"/>
      <c r="C36" s="1122"/>
      <c r="D36" s="1122"/>
      <c r="E36" s="1122"/>
      <c r="F36" s="1122"/>
      <c r="G36" s="1122"/>
      <c r="H36" s="1122"/>
      <c r="I36" s="1122"/>
      <c r="J36" s="1122"/>
      <c r="K36" s="1122"/>
      <c r="L36" s="1122"/>
      <c r="M36" s="1261"/>
      <c r="N36" s="1122"/>
      <c r="O36" s="1122"/>
      <c r="P36" s="1122"/>
      <c r="U36" s="2227" t="s">
        <v>39</v>
      </c>
      <c r="V36" s="2227"/>
      <c r="W36" s="1253"/>
      <c r="X36" s="2228" t="str">
        <f>IF(TITLE_IST_PUB_CHANGE="",IF(TITLE_IST_PUB="","",TITLE_IST_PUB),TITLE_IST_PUB_CHANGE)</f>
        <v/>
      </c>
      <c r="Y36" s="2228"/>
      <c r="Z36" s="2228"/>
      <c r="AA36" s="2228"/>
      <c r="AB36" s="2228"/>
      <c r="AC36" s="2228"/>
      <c r="AD36" s="2228"/>
      <c r="AE36" s="2228"/>
      <c r="AF36" s="253"/>
      <c r="AG36" s="2228" t="str">
        <f>IF(TITLE_IST_PUB_CHANGE="",IF(TITLE_IST_PUB="","",TITLE_IST_PUB),TITLE_IST_PUB_CHANGE)</f>
        <v/>
      </c>
      <c r="AH36" s="2228"/>
      <c r="AI36" s="2228"/>
      <c r="AJ36" s="2228"/>
      <c r="AK36" s="2228"/>
      <c r="AL36" s="2228"/>
      <c r="AM36" s="2228"/>
      <c r="AN36" s="2228"/>
      <c r="AO36" s="253"/>
      <c r="AP36" s="253"/>
      <c r="AQ36" s="199"/>
      <c r="AR36" s="295"/>
      <c r="AS36" s="295"/>
      <c r="AT36" s="295"/>
      <c r="AU36" s="295"/>
      <c r="AV36" s="295"/>
    </row>
    <row r="37" spans="1:48" ht="14.25" hidden="1" customHeight="1">
      <c r="R37" s="304"/>
      <c r="S37" s="304"/>
      <c r="T37" s="304"/>
      <c r="U37" s="1158"/>
      <c r="V37" s="289"/>
      <c r="W37" s="289"/>
      <c r="X37" s="248"/>
      <c r="Y37" s="248"/>
      <c r="Z37" s="248"/>
      <c r="AA37" s="248"/>
      <c r="AB37" s="248"/>
      <c r="AC37" s="248"/>
      <c r="AD37" s="248"/>
      <c r="AE37" s="248"/>
      <c r="AF37" s="248"/>
      <c r="AG37" s="248"/>
      <c r="AH37" s="248"/>
      <c r="AI37" s="248"/>
      <c r="AJ37" s="248"/>
      <c r="AK37" s="248"/>
      <c r="AL37" s="248"/>
      <c r="AM37" s="248"/>
      <c r="AN37" s="248"/>
      <c r="AO37" s="248"/>
      <c r="AP37" s="437"/>
    </row>
    <row r="38" spans="1:48" s="1950" customFormat="1" ht="18.75" hidden="1" customHeight="1">
      <c r="A38" s="1122"/>
      <c r="B38" s="1122"/>
      <c r="C38" s="1122"/>
      <c r="D38" s="1122"/>
      <c r="E38" s="1122"/>
      <c r="F38" s="1122"/>
      <c r="G38" s="1122"/>
      <c r="H38" s="1122"/>
      <c r="I38" s="1122"/>
      <c r="J38" s="1122"/>
      <c r="K38" s="1122"/>
      <c r="L38" s="1122"/>
      <c r="M38" s="1261"/>
      <c r="N38" s="1122"/>
      <c r="O38" s="1122"/>
      <c r="P38" s="1122"/>
      <c r="U38" s="2227" t="s">
        <v>1486</v>
      </c>
      <c r="V38" s="2227"/>
      <c r="W38" s="1253"/>
      <c r="X38" s="2228" t="str">
        <f>IF(TITLE_DATE_CHANGE_PERIOD="",IF(TITLE_DATE_PR="","",TITLE_DATE_PR),TITLE_DATE_CHANGE_PERIOD)</f>
        <v/>
      </c>
      <c r="Y38" s="2228"/>
      <c r="Z38" s="2228"/>
      <c r="AA38" s="2228"/>
      <c r="AB38" s="2228"/>
      <c r="AC38" s="2228"/>
      <c r="AD38" s="2228"/>
      <c r="AE38" s="2228"/>
      <c r="AF38" s="253"/>
      <c r="AG38" s="2228" t="str">
        <f>IF(TITLE_DATE_CHANGE_PERIOD="",IF(TITLE_DATE_PR="","",TITLE_DATE_PR),TITLE_DATE_CHANGE_PERIOD)</f>
        <v/>
      </c>
      <c r="AH38" s="2228"/>
      <c r="AI38" s="2228"/>
      <c r="AJ38" s="2228"/>
      <c r="AK38" s="2228"/>
      <c r="AL38" s="2228"/>
      <c r="AM38" s="2228"/>
      <c r="AN38" s="2228"/>
      <c r="AO38" s="253"/>
      <c r="AP38" s="253"/>
      <c r="AQ38" s="199"/>
      <c r="AR38" s="295"/>
      <c r="AS38" s="295"/>
      <c r="AT38" s="295"/>
      <c r="AU38" s="295"/>
      <c r="AV38" s="295"/>
    </row>
    <row r="39" spans="1:48" s="1950" customFormat="1" ht="18.75" hidden="1" customHeight="1">
      <c r="A39" s="1122"/>
      <c r="B39" s="1122"/>
      <c r="C39" s="1122"/>
      <c r="D39" s="1122"/>
      <c r="E39" s="1122"/>
      <c r="F39" s="1122"/>
      <c r="G39" s="1122"/>
      <c r="H39" s="1122"/>
      <c r="I39" s="1122"/>
      <c r="J39" s="1122"/>
      <c r="K39" s="1122"/>
      <c r="L39" s="1122"/>
      <c r="M39" s="1261"/>
      <c r="N39" s="1122"/>
      <c r="O39" s="1122"/>
      <c r="P39" s="1122"/>
      <c r="U39" s="2227" t="s">
        <v>1487</v>
      </c>
      <c r="V39" s="2227"/>
      <c r="W39" s="1253"/>
      <c r="X39" s="2228" t="str">
        <f>IF(TITLE_NUMBER_PR_CHANGE="",IF(TITLE_NUMBER_PR="","",TITLE_NUMBER_PR),TITLE_NUMBER_PR_CHANGE)</f>
        <v/>
      </c>
      <c r="Y39" s="2228"/>
      <c r="Z39" s="2228"/>
      <c r="AA39" s="2228"/>
      <c r="AB39" s="2228"/>
      <c r="AC39" s="2228"/>
      <c r="AD39" s="2228"/>
      <c r="AE39" s="2228"/>
      <c r="AF39" s="253"/>
      <c r="AG39" s="2228" t="str">
        <f>IF(TITLE_NUMBER_PR_CHANGE="",IF(TITLE_NUMBER_PR="","",TITLE_NUMBER_PR),TITLE_NUMBER_PR_CHANGE)</f>
        <v/>
      </c>
      <c r="AH39" s="2228"/>
      <c r="AI39" s="2228"/>
      <c r="AJ39" s="2228"/>
      <c r="AK39" s="2228"/>
      <c r="AL39" s="2228"/>
      <c r="AM39" s="2228"/>
      <c r="AN39" s="2228"/>
      <c r="AO39" s="253"/>
      <c r="AP39" s="253"/>
      <c r="AQ39" s="199"/>
      <c r="AR39" s="295"/>
      <c r="AS39" s="295"/>
      <c r="AT39" s="295"/>
      <c r="AU39" s="295"/>
      <c r="AV39" s="295"/>
    </row>
    <row r="40" spans="1:48" s="1950" customFormat="1" ht="0" hidden="1" customHeight="1">
      <c r="A40" s="1122"/>
      <c r="B40" s="1122"/>
      <c r="C40" s="1122"/>
      <c r="D40" s="1122"/>
      <c r="E40" s="1122"/>
      <c r="F40" s="1122"/>
      <c r="G40" s="1122"/>
      <c r="H40" s="1122"/>
      <c r="I40" s="1122"/>
      <c r="J40" s="1122"/>
      <c r="K40" s="1122"/>
      <c r="L40" s="1122"/>
      <c r="M40" s="1261"/>
      <c r="N40" s="1122"/>
      <c r="O40" s="1122"/>
      <c r="P40" s="1122"/>
      <c r="U40" s="250"/>
      <c r="V40" s="250"/>
      <c r="W40" s="1225"/>
      <c r="X40" s="253"/>
      <c r="Y40" s="253"/>
      <c r="Z40" s="253"/>
      <c r="AA40" s="253"/>
      <c r="AB40" s="253"/>
      <c r="AC40" s="253"/>
      <c r="AD40" s="253"/>
      <c r="AE40" s="253"/>
      <c r="AF40" s="197" t="s">
        <v>1488</v>
      </c>
      <c r="AG40" s="253"/>
      <c r="AH40" s="253"/>
      <c r="AI40" s="253"/>
      <c r="AJ40" s="253"/>
      <c r="AK40" s="253"/>
      <c r="AL40" s="253"/>
      <c r="AM40" s="253"/>
      <c r="AN40" s="253"/>
      <c r="AO40" s="197" t="s">
        <v>1488</v>
      </c>
      <c r="AR40" s="295"/>
      <c r="AS40" s="295"/>
      <c r="AT40" s="295"/>
      <c r="AU40" s="295"/>
      <c r="AV40" s="295"/>
    </row>
    <row r="41" spans="1:48" ht="14.25" customHeight="1">
      <c r="R41" s="304"/>
      <c r="S41" s="304"/>
      <c r="T41" s="304"/>
      <c r="U41" s="1158"/>
      <c r="V41" s="289"/>
      <c r="W41" s="1117"/>
      <c r="X41" s="2246"/>
      <c r="Y41" s="2246"/>
      <c r="Z41" s="2246"/>
      <c r="AA41" s="2246"/>
      <c r="AB41" s="2246"/>
      <c r="AC41" s="2246"/>
      <c r="AD41" s="2246"/>
      <c r="AE41" s="2246"/>
      <c r="AF41" s="2246"/>
      <c r="AG41" s="2246"/>
      <c r="AH41" s="2246"/>
      <c r="AI41" s="2246"/>
      <c r="AJ41" s="2246"/>
      <c r="AK41" s="2246"/>
      <c r="AL41" s="2246"/>
      <c r="AM41" s="2246"/>
      <c r="AN41" s="2246"/>
      <c r="AO41" s="2246"/>
    </row>
    <row r="42" spans="1:48" ht="14.25" customHeight="1">
      <c r="R42" s="304"/>
      <c r="S42" s="304"/>
      <c r="T42" s="304"/>
      <c r="U42" s="2021" t="s">
        <v>292</v>
      </c>
      <c r="V42" s="2021"/>
      <c r="W42" s="2021"/>
      <c r="X42" s="2021"/>
      <c r="Y42" s="2021"/>
      <c r="Z42" s="2021"/>
      <c r="AA42" s="2021"/>
      <c r="AB42" s="2021"/>
      <c r="AC42" s="2021"/>
      <c r="AD42" s="2021"/>
      <c r="AE42" s="2021"/>
      <c r="AF42" s="2021"/>
      <c r="AG42" s="2021"/>
      <c r="AH42" s="2021"/>
      <c r="AI42" s="2021"/>
      <c r="AJ42" s="2021"/>
      <c r="AK42" s="2021"/>
      <c r="AL42" s="2021"/>
      <c r="AM42" s="2021"/>
      <c r="AN42" s="2021"/>
      <c r="AO42" s="2021"/>
      <c r="AP42" s="2021"/>
      <c r="AQ42" s="2021" t="s">
        <v>293</v>
      </c>
    </row>
    <row r="43" spans="1:48" ht="14.25" customHeight="1">
      <c r="R43" s="304"/>
      <c r="S43" s="304"/>
      <c r="T43" s="304"/>
      <c r="U43" s="2247" t="s">
        <v>88</v>
      </c>
      <c r="V43" s="2111" t="s">
        <v>1489</v>
      </c>
      <c r="W43" s="219"/>
      <c r="X43" s="2248" t="s">
        <v>1490</v>
      </c>
      <c r="Y43" s="2262"/>
      <c r="Z43" s="2262"/>
      <c r="AA43" s="2262"/>
      <c r="AB43" s="2262"/>
      <c r="AC43" s="2249"/>
      <c r="AD43" s="2249"/>
      <c r="AE43" s="2250"/>
      <c r="AF43" s="2251" t="s">
        <v>1491</v>
      </c>
      <c r="AG43" s="2248" t="s">
        <v>1490</v>
      </c>
      <c r="AH43" s="2262"/>
      <c r="AI43" s="2262"/>
      <c r="AJ43" s="2262"/>
      <c r="AK43" s="2262"/>
      <c r="AL43" s="2249"/>
      <c r="AM43" s="2249"/>
      <c r="AN43" s="2250"/>
      <c r="AO43" s="2251" t="s">
        <v>1492</v>
      </c>
      <c r="AP43" s="2254" t="s">
        <v>1493</v>
      </c>
      <c r="AQ43" s="2021"/>
    </row>
    <row r="44" spans="1:48" ht="33.75" customHeight="1">
      <c r="R44" s="304"/>
      <c r="S44" s="304"/>
      <c r="T44" s="304"/>
      <c r="U44" s="2247"/>
      <c r="V44" s="2111"/>
      <c r="W44" s="924"/>
      <c r="X44" s="2081" t="s">
        <v>1526</v>
      </c>
      <c r="Y44" s="2021" t="s">
        <v>1527</v>
      </c>
      <c r="Z44" s="2021"/>
      <c r="AA44" s="2021"/>
      <c r="AB44" s="2021"/>
      <c r="AC44" s="2081" t="s">
        <v>1497</v>
      </c>
      <c r="AD44" s="2267"/>
      <c r="AE44" s="2082"/>
      <c r="AF44" s="2252"/>
      <c r="AG44" s="2081" t="s">
        <v>1526</v>
      </c>
      <c r="AH44" s="2021" t="s">
        <v>1527</v>
      </c>
      <c r="AI44" s="2021"/>
      <c r="AJ44" s="2021"/>
      <c r="AK44" s="2021"/>
      <c r="AL44" s="2081" t="s">
        <v>1497</v>
      </c>
      <c r="AM44" s="2267"/>
      <c r="AN44" s="2082"/>
      <c r="AO44" s="2252"/>
      <c r="AP44" s="2255"/>
      <c r="AQ44" s="2021"/>
    </row>
    <row r="45" spans="1:48" ht="14.25" customHeight="1">
      <c r="R45" s="304"/>
      <c r="S45" s="304"/>
      <c r="T45" s="304"/>
      <c r="U45" s="2247"/>
      <c r="V45" s="2111"/>
      <c r="W45" s="924"/>
      <c r="X45" s="2083"/>
      <c r="Y45" s="2118" t="s">
        <v>1528</v>
      </c>
      <c r="Z45" s="2117" t="s">
        <v>1529</v>
      </c>
      <c r="AA45" s="2130"/>
      <c r="AB45" s="2131"/>
      <c r="AC45" s="2086"/>
      <c r="AD45" s="2268"/>
      <c r="AE45" s="2087"/>
      <c r="AF45" s="2252"/>
      <c r="AG45" s="2083"/>
      <c r="AH45" s="2118" t="s">
        <v>1528</v>
      </c>
      <c r="AI45" s="2117" t="s">
        <v>1529</v>
      </c>
      <c r="AJ45" s="2130"/>
      <c r="AK45" s="2131"/>
      <c r="AL45" s="2086"/>
      <c r="AM45" s="2268"/>
      <c r="AN45" s="2087"/>
      <c r="AO45" s="2252"/>
      <c r="AP45" s="2255"/>
      <c r="AQ45" s="2021"/>
    </row>
    <row r="46" spans="1:48" ht="25.5" customHeight="1">
      <c r="R46" s="304"/>
      <c r="S46" s="304"/>
      <c r="T46" s="304"/>
      <c r="U46" s="2247"/>
      <c r="V46" s="2111"/>
      <c r="W46" s="924"/>
      <c r="X46" s="2083"/>
      <c r="Y46" s="2266"/>
      <c r="Z46" s="2118" t="s">
        <v>1530</v>
      </c>
      <c r="AA46" s="2117" t="s">
        <v>1531</v>
      </c>
      <c r="AB46" s="2131"/>
      <c r="AC46" s="2118" t="s">
        <v>1507</v>
      </c>
      <c r="AD46" s="2122" t="s">
        <v>1508</v>
      </c>
      <c r="AE46" s="2120"/>
      <c r="AF46" s="2252"/>
      <c r="AG46" s="2083"/>
      <c r="AH46" s="2266"/>
      <c r="AI46" s="2118" t="s">
        <v>1530</v>
      </c>
      <c r="AJ46" s="2117" t="s">
        <v>1531</v>
      </c>
      <c r="AK46" s="2131"/>
      <c r="AL46" s="2118" t="s">
        <v>1507</v>
      </c>
      <c r="AM46" s="2122" t="s">
        <v>1508</v>
      </c>
      <c r="AN46" s="2120"/>
      <c r="AO46" s="2252"/>
      <c r="AP46" s="2255"/>
      <c r="AQ46" s="2021"/>
    </row>
    <row r="47" spans="1:48" ht="62.25" customHeight="1">
      <c r="A47" s="1142"/>
      <c r="B47" s="1142" t="s">
        <v>136</v>
      </c>
      <c r="C47" s="1142" t="s">
        <v>137</v>
      </c>
      <c r="D47" s="1142" t="s">
        <v>138</v>
      </c>
      <c r="E47" s="1196" t="s">
        <v>1498</v>
      </c>
      <c r="F47" s="1196" t="s">
        <v>1499</v>
      </c>
      <c r="G47" s="1196" t="s">
        <v>1500</v>
      </c>
      <c r="H47" s="1196" t="s">
        <v>1501</v>
      </c>
      <c r="I47" s="1196" t="s">
        <v>1502</v>
      </c>
      <c r="J47" s="1196" t="s">
        <v>1503</v>
      </c>
      <c r="K47" s="1196" t="s">
        <v>1504</v>
      </c>
      <c r="L47" s="1196" t="s">
        <v>1532</v>
      </c>
      <c r="M47" s="1196" t="s">
        <v>1479</v>
      </c>
      <c r="R47" s="304"/>
      <c r="S47" s="304"/>
      <c r="T47" s="304"/>
      <c r="U47" s="2247"/>
      <c r="V47" s="2111"/>
      <c r="W47" s="220"/>
      <c r="X47" s="2086"/>
      <c r="Y47" s="2119"/>
      <c r="Z47" s="2119"/>
      <c r="AA47" s="1092" t="s">
        <v>1533</v>
      </c>
      <c r="AB47" s="1092" t="s">
        <v>1534</v>
      </c>
      <c r="AC47" s="2119"/>
      <c r="AD47" s="2123"/>
      <c r="AE47" s="2121"/>
      <c r="AF47" s="2253"/>
      <c r="AG47" s="2086"/>
      <c r="AH47" s="2119"/>
      <c r="AI47" s="2119"/>
      <c r="AJ47" s="1092" t="s">
        <v>1533</v>
      </c>
      <c r="AK47" s="1092" t="s">
        <v>1534</v>
      </c>
      <c r="AL47" s="2119"/>
      <c r="AM47" s="2123"/>
      <c r="AN47" s="2121"/>
      <c r="AO47" s="2253"/>
      <c r="AP47" s="2256"/>
      <c r="AQ47" s="2021"/>
    </row>
    <row r="48" spans="1:48" s="1720" customFormat="1" ht="11.25" hidden="1" customHeight="1">
      <c r="A48" s="1142"/>
      <c r="B48" s="1142"/>
      <c r="C48" s="1142"/>
      <c r="D48" s="1142"/>
      <c r="E48" s="1142"/>
      <c r="F48" s="1142"/>
      <c r="G48" s="1142"/>
      <c r="H48" s="1142"/>
      <c r="I48" s="1142"/>
      <c r="J48" s="1142"/>
      <c r="K48" s="1142"/>
      <c r="L48" s="1142"/>
      <c r="M48" s="1196"/>
      <c r="N48" s="1213"/>
      <c r="O48" s="1213"/>
      <c r="P48" s="1213"/>
      <c r="Q48" s="1119"/>
      <c r="R48" s="1120"/>
      <c r="S48" s="1135">
        <v>1</v>
      </c>
      <c r="T48" s="1135"/>
      <c r="U48" s="1160" t="s">
        <v>109</v>
      </c>
      <c r="V48" s="1136" t="s">
        <v>110</v>
      </c>
      <c r="W48" s="1118" t="str">
        <f ca="1">OFFSET(W48,0,-1)</f>
        <v>2</v>
      </c>
      <c r="X48" s="1220">
        <f ca="1">OFFSET(X48,0,-1)+1</f>
        <v>3</v>
      </c>
      <c r="Y48" s="1226"/>
      <c r="Z48" s="1226"/>
      <c r="AA48" s="1226">
        <f ca="1">OFFSET(AA48,0,-1)+1</f>
        <v>1</v>
      </c>
      <c r="AB48" s="1226">
        <f ca="1">OFFSET(AB48,0,-1)+1</f>
        <v>2</v>
      </c>
      <c r="AC48" s="1220">
        <f ca="1">OFFSET(AC48,0,-1)+1</f>
        <v>3</v>
      </c>
      <c r="AD48" s="2245">
        <f ca="1">OFFSET(AD48,0,-1)+1</f>
        <v>4</v>
      </c>
      <c r="AE48" s="2245"/>
      <c r="AF48" s="1220">
        <f ca="1">OFFSET(AF48,0,-2)+1</f>
        <v>5</v>
      </c>
      <c r="AG48" s="1220">
        <f ca="1">OFFSET(AG48,0,-1)+1</f>
        <v>6</v>
      </c>
      <c r="AH48" s="1220"/>
      <c r="AI48" s="1220"/>
      <c r="AJ48" s="1220">
        <f ca="1">OFFSET(AJ48,0,-1)+1</f>
        <v>1</v>
      </c>
      <c r="AK48" s="1220">
        <f ca="1">OFFSET(AK48,0,-1)+1</f>
        <v>2</v>
      </c>
      <c r="AL48" s="1220">
        <f ca="1">OFFSET(AL48,0,-1)+1</f>
        <v>3</v>
      </c>
      <c r="AM48" s="2245">
        <f ca="1">OFFSET(AM48,0,-1)+1</f>
        <v>4</v>
      </c>
      <c r="AN48" s="2245"/>
      <c r="AO48" s="1220">
        <f ca="1">OFFSET(AO48,0,-2)+1</f>
        <v>5</v>
      </c>
      <c r="AP48" s="1118">
        <f ca="1">OFFSET(AP48,0,-1)</f>
        <v>5</v>
      </c>
      <c r="AQ48" s="1220">
        <f ca="1">OFFSET(AQ48,0,-1)+1</f>
        <v>6</v>
      </c>
      <c r="AR48" s="439"/>
      <c r="AS48" s="439"/>
      <c r="AT48" s="439"/>
      <c r="AU48" s="439"/>
      <c r="AV48" s="439"/>
    </row>
    <row r="49" spans="1:48" ht="21" customHeight="1">
      <c r="A49" s="1149" t="s">
        <v>177</v>
      </c>
      <c r="B49" s="1149"/>
      <c r="C49" s="1149"/>
      <c r="D49" s="1149"/>
      <c r="E49" s="2269">
        <v>1</v>
      </c>
      <c r="F49" s="1149"/>
      <c r="G49" s="1149"/>
      <c r="H49" s="1149"/>
      <c r="I49" s="1149"/>
      <c r="J49" s="1149"/>
      <c r="K49" s="1149"/>
      <c r="L49" s="1149"/>
      <c r="M49" s="1196"/>
      <c r="N49" s="603"/>
      <c r="O49" s="603"/>
      <c r="P49" s="603"/>
      <c r="Q49" s="285"/>
      <c r="R49" s="284"/>
      <c r="S49" s="284"/>
      <c r="T49" s="279"/>
      <c r="U49" s="1221">
        <f>INDEX(PT_DIFFERENTIATION_NUM_NTAR,MATCH(A49,PT_DIFFERENTIATION_NTAR_ID,0))</f>
        <v>0</v>
      </c>
      <c r="V49" s="216" t="s">
        <v>124</v>
      </c>
      <c r="W49" s="218"/>
      <c r="X49" s="2229"/>
      <c r="Y49" s="2230"/>
      <c r="Z49" s="2230"/>
      <c r="AA49" s="2230"/>
      <c r="AB49" s="2230"/>
      <c r="AC49" s="2230"/>
      <c r="AD49" s="2230"/>
      <c r="AE49" s="2230"/>
      <c r="AF49" s="2231"/>
      <c r="AG49" s="2229" t="str">
        <f>INDEX(PT_DIFFERENTIATION_NTAR,MATCH(A49,PT_DIFFERENTIATION_NTAR_ID,0))</f>
        <v/>
      </c>
      <c r="AH49" s="2230"/>
      <c r="AI49" s="2230"/>
      <c r="AJ49" s="2230"/>
      <c r="AK49" s="2230"/>
      <c r="AL49" s="2230"/>
      <c r="AM49" s="2230"/>
      <c r="AN49" s="2230"/>
      <c r="AO49" s="2230"/>
      <c r="AP49" s="2231"/>
      <c r="AQ49" s="1140" t="str">
        <f>"Указывается наименование тарифа в случае "&amp;IF(TEMPLATE_GROUP="P","утверждения","расчёта")&amp;" нескольких тарифов.
В случае наличия нескольких тарифов информация по ним указывается в отдельных строках."</f>
        <v>Указывается наименование тарифа в случае расчёта нескольких тарифов.
В случае наличия нескольких тарифов информация по ним указывается в отдельных строках.</v>
      </c>
      <c r="AS49" s="428"/>
      <c r="AT49" s="428" t="str">
        <f t="shared" ref="AT49:AT65" si="2">IF(V49="","",V49)</f>
        <v>Наименование тарифа</v>
      </c>
      <c r="AU49" s="428"/>
      <c r="AV49" s="428"/>
    </row>
    <row r="50" spans="1:48" ht="21" customHeight="1">
      <c r="A50" s="1149" t="s">
        <v>177</v>
      </c>
      <c r="B50" s="1149" t="s">
        <v>178</v>
      </c>
      <c r="C50" s="1149"/>
      <c r="D50" s="1149"/>
      <c r="E50" s="2270"/>
      <c r="F50" s="2269">
        <v>1</v>
      </c>
      <c r="G50" s="1149"/>
      <c r="H50" s="1149"/>
      <c r="I50" s="1149"/>
      <c r="J50" s="1149"/>
      <c r="K50" s="1149"/>
      <c r="L50" s="1149"/>
      <c r="M50" s="1196"/>
      <c r="N50" s="603"/>
      <c r="O50" s="603"/>
      <c r="P50" s="603"/>
      <c r="Q50" s="1217"/>
      <c r="R50" s="276"/>
      <c r="S50" s="437"/>
      <c r="T50" s="277"/>
      <c r="U50" s="1221" t="str">
        <f>INDEX(PT_DIFFERENTIATION_NUM_TER,MATCH(B50,PT_DIFFERENTIATION_TER_ID,0))</f>
        <v>.</v>
      </c>
      <c r="V50" s="228" t="s">
        <v>1461</v>
      </c>
      <c r="W50" s="218"/>
      <c r="X50" s="2229"/>
      <c r="Y50" s="2230"/>
      <c r="Z50" s="2230"/>
      <c r="AA50" s="2230"/>
      <c r="AB50" s="2230"/>
      <c r="AC50" s="2230"/>
      <c r="AD50" s="2230"/>
      <c r="AE50" s="2230"/>
      <c r="AF50" s="2231"/>
      <c r="AG50" s="2229" t="str">
        <f>INDEX(PT_DIFFERENTIATION_TER,MATCH(B50,PT_DIFFERENTIATION_TER_ID,0))</f>
        <v/>
      </c>
      <c r="AH50" s="2230"/>
      <c r="AI50" s="2230"/>
      <c r="AJ50" s="2230"/>
      <c r="AK50" s="2230"/>
      <c r="AL50" s="2230"/>
      <c r="AM50" s="2230"/>
      <c r="AN50" s="2230"/>
      <c r="AO50" s="2230"/>
      <c r="AP50" s="2231"/>
      <c r="AQ50" s="1140" t="s">
        <v>1462</v>
      </c>
      <c r="AS50" s="428"/>
      <c r="AT50" s="428" t="str">
        <f t="shared" si="2"/>
        <v>Территория действия тарифа</v>
      </c>
      <c r="AU50" s="428"/>
      <c r="AV50" s="428"/>
    </row>
    <row r="51" spans="1:48" ht="22.5" customHeight="1">
      <c r="A51" s="1149" t="s">
        <v>177</v>
      </c>
      <c r="B51" s="1149" t="s">
        <v>178</v>
      </c>
      <c r="C51" s="1149" t="s">
        <v>179</v>
      </c>
      <c r="D51" s="1149"/>
      <c r="E51" s="2270"/>
      <c r="F51" s="2270"/>
      <c r="G51" s="2269">
        <v>1</v>
      </c>
      <c r="H51" s="1149"/>
      <c r="I51" s="1149"/>
      <c r="J51" s="1149"/>
      <c r="K51" s="1149"/>
      <c r="L51" s="1149"/>
      <c r="M51" s="1196"/>
      <c r="N51" s="603"/>
      <c r="O51" s="603"/>
      <c r="P51" s="603"/>
      <c r="Q51" s="278"/>
      <c r="R51" s="276"/>
      <c r="S51" s="437"/>
      <c r="T51" s="277"/>
      <c r="U51" s="1221" t="str">
        <f>INDEX(PT_DIFFERENTIATION_NUM_CS,MATCH(C51,PT_DIFFERENTIATION_CS_ID,0))</f>
        <v>..</v>
      </c>
      <c r="V51" s="229" t="s">
        <v>1463</v>
      </c>
      <c r="W51" s="218"/>
      <c r="X51" s="2229"/>
      <c r="Y51" s="2230"/>
      <c r="Z51" s="2230"/>
      <c r="AA51" s="2230"/>
      <c r="AB51" s="2230"/>
      <c r="AC51" s="2230"/>
      <c r="AD51" s="2230"/>
      <c r="AE51" s="2230"/>
      <c r="AF51" s="2231"/>
      <c r="AG51" s="2229" t="str">
        <f>INDEX(PT_DIFFERENTIATION_CS,MATCH(C51,PT_DIFFERENTIATION_CS_ID,0))</f>
        <v/>
      </c>
      <c r="AH51" s="2230"/>
      <c r="AI51" s="2230"/>
      <c r="AJ51" s="2230"/>
      <c r="AK51" s="2230"/>
      <c r="AL51" s="2230"/>
      <c r="AM51" s="2230"/>
      <c r="AN51" s="2230"/>
      <c r="AO51" s="2230"/>
      <c r="AP51" s="2231"/>
      <c r="AQ51" s="1140" t="s">
        <v>1464</v>
      </c>
      <c r="AS51" s="428"/>
      <c r="AT51" s="428" t="str">
        <f t="shared" si="2"/>
        <v xml:space="preserve">Наименование системы теплоснабжения </v>
      </c>
      <c r="AU51" s="428"/>
      <c r="AV51" s="428"/>
    </row>
    <row r="52" spans="1:48" ht="21" customHeight="1">
      <c r="A52" s="1149" t="s">
        <v>177</v>
      </c>
      <c r="B52" s="1149" t="s">
        <v>178</v>
      </c>
      <c r="C52" s="1149" t="s">
        <v>179</v>
      </c>
      <c r="D52" s="1149" t="s">
        <v>180</v>
      </c>
      <c r="E52" s="2270"/>
      <c r="F52" s="2270"/>
      <c r="G52" s="2270"/>
      <c r="H52" s="2269">
        <v>1</v>
      </c>
      <c r="I52" s="1149"/>
      <c r="J52" s="1149"/>
      <c r="K52" s="1149"/>
      <c r="L52" s="1149"/>
      <c r="M52" s="1196"/>
      <c r="N52" s="603"/>
      <c r="O52" s="603"/>
      <c r="P52" s="603"/>
      <c r="Q52" s="278"/>
      <c r="R52" s="276"/>
      <c r="S52" s="437"/>
      <c r="T52" s="277"/>
      <c r="U52" s="1221" t="str">
        <f>INDEX(PT_DIFFERENTIATION_NUM_IST_TE,MATCH(D52,PT_DIFFERENTIATION_IST_TE_ID,0))</f>
        <v>...</v>
      </c>
      <c r="V52" s="230" t="s">
        <v>1465</v>
      </c>
      <c r="W52" s="218"/>
      <c r="X52" s="2229"/>
      <c r="Y52" s="2230"/>
      <c r="Z52" s="2230"/>
      <c r="AA52" s="2230"/>
      <c r="AB52" s="2230"/>
      <c r="AC52" s="2230"/>
      <c r="AD52" s="2230"/>
      <c r="AE52" s="2230"/>
      <c r="AF52" s="2231"/>
      <c r="AG52" s="2229" t="str">
        <f>INDEX(PT_DIFFERENTIATION_IST_TE,MATCH(D52,PT_DIFFERENTIATION_IST_TE_ID,0))</f>
        <v/>
      </c>
      <c r="AH52" s="2230"/>
      <c r="AI52" s="2230"/>
      <c r="AJ52" s="2230"/>
      <c r="AK52" s="2230"/>
      <c r="AL52" s="2230"/>
      <c r="AM52" s="2230"/>
      <c r="AN52" s="2230"/>
      <c r="AO52" s="2230"/>
      <c r="AP52" s="2231"/>
      <c r="AQ52" s="1140" t="s">
        <v>1466</v>
      </c>
      <c r="AS52" s="428"/>
      <c r="AT52" s="428" t="str">
        <f t="shared" si="2"/>
        <v xml:space="preserve">Источник тепловой энергии  </v>
      </c>
      <c r="AU52" s="428"/>
      <c r="AV52" s="428"/>
    </row>
    <row r="53" spans="1:48" s="1772" customFormat="1" ht="0" hidden="1" customHeight="1">
      <c r="A53" s="1256" t="s">
        <v>177</v>
      </c>
      <c r="B53" s="1256" t="s">
        <v>178</v>
      </c>
      <c r="C53" s="1256" t="s">
        <v>179</v>
      </c>
      <c r="D53" s="1256" t="s">
        <v>180</v>
      </c>
      <c r="E53" s="2270"/>
      <c r="F53" s="2270"/>
      <c r="G53" s="2270"/>
      <c r="H53" s="2270"/>
      <c r="I53" s="2021" t="str">
        <f>U52&amp;".1"</f>
        <v>....1</v>
      </c>
      <c r="J53" s="1256"/>
      <c r="K53" s="1256"/>
      <c r="L53" s="1256"/>
      <c r="M53" s="1262" t="s">
        <v>1467</v>
      </c>
      <c r="N53" s="1119"/>
      <c r="O53" s="1119"/>
      <c r="P53" s="1119"/>
      <c r="Q53" s="2157">
        <v>1</v>
      </c>
      <c r="R53" s="1216"/>
      <c r="S53" s="1216"/>
      <c r="T53" s="280"/>
      <c r="U53" s="932"/>
      <c r="V53" s="1263"/>
      <c r="W53" s="1264"/>
      <c r="X53" s="2263"/>
      <c r="Y53" s="2264"/>
      <c r="Z53" s="2264"/>
      <c r="AA53" s="2264"/>
      <c r="AB53" s="2264"/>
      <c r="AC53" s="2264"/>
      <c r="AD53" s="2264"/>
      <c r="AE53" s="2264"/>
      <c r="AF53" s="2265"/>
      <c r="AG53" s="2263"/>
      <c r="AH53" s="2264"/>
      <c r="AI53" s="2264"/>
      <c r="AJ53" s="2264"/>
      <c r="AK53" s="2264"/>
      <c r="AL53" s="2264"/>
      <c r="AM53" s="2264"/>
      <c r="AN53" s="2264"/>
      <c r="AO53" s="2264"/>
      <c r="AP53" s="2265"/>
      <c r="AQ53" s="1265"/>
      <c r="AS53" s="428"/>
      <c r="AT53" s="428" t="str">
        <f t="shared" si="2"/>
        <v/>
      </c>
      <c r="AU53" s="428"/>
      <c r="AV53" s="428"/>
    </row>
    <row r="54" spans="1:48" ht="21" customHeight="1">
      <c r="A54" s="1149" t="s">
        <v>177</v>
      </c>
      <c r="B54" s="1149" t="s">
        <v>178</v>
      </c>
      <c r="C54" s="1149" t="s">
        <v>179</v>
      </c>
      <c r="D54" s="1149" t="s">
        <v>180</v>
      </c>
      <c r="E54" s="2270"/>
      <c r="F54" s="2270"/>
      <c r="G54" s="2270"/>
      <c r="H54" s="2270"/>
      <c r="I54" s="2003"/>
      <c r="J54" s="2021" t="str">
        <f>I53&amp;".1"</f>
        <v>....1.1</v>
      </c>
      <c r="K54" s="1149"/>
      <c r="L54" s="1149"/>
      <c r="M54" s="1196" t="s">
        <v>1470</v>
      </c>
      <c r="Q54" s="2157"/>
      <c r="R54" s="2157">
        <v>1</v>
      </c>
      <c r="S54" s="446"/>
      <c r="T54" s="281"/>
      <c r="U54" s="1221" t="str">
        <f>$J54</f>
        <v>....1.1</v>
      </c>
      <c r="V54" s="204" t="s">
        <v>1471</v>
      </c>
      <c r="W54" s="218"/>
      <c r="X54" s="2224"/>
      <c r="Y54" s="2225"/>
      <c r="Z54" s="2225"/>
      <c r="AA54" s="2225"/>
      <c r="AB54" s="2225"/>
      <c r="AC54" s="2134"/>
      <c r="AD54" s="2134"/>
      <c r="AE54" s="2134"/>
      <c r="AF54" s="2271"/>
      <c r="AG54" s="2224"/>
      <c r="AH54" s="2225"/>
      <c r="AI54" s="2225"/>
      <c r="AJ54" s="2225"/>
      <c r="AK54" s="2225"/>
      <c r="AL54" s="2225"/>
      <c r="AM54" s="2225"/>
      <c r="AN54" s="2225"/>
      <c r="AO54" s="2225"/>
      <c r="AP54" s="2226"/>
      <c r="AQ54" s="1140" t="s">
        <v>1472</v>
      </c>
      <c r="AS54" s="428"/>
      <c r="AT54" s="428" t="str">
        <f t="shared" si="2"/>
        <v>Группа потребителей</v>
      </c>
      <c r="AU54" s="428"/>
      <c r="AV54" s="428"/>
    </row>
    <row r="55" spans="1:48" ht="21" customHeight="1">
      <c r="A55" s="1149" t="s">
        <v>177</v>
      </c>
      <c r="B55" s="1149" t="s">
        <v>178</v>
      </c>
      <c r="C55" s="1149" t="s">
        <v>179</v>
      </c>
      <c r="D55" s="1149" t="s">
        <v>180</v>
      </c>
      <c r="E55" s="2270"/>
      <c r="F55" s="2270"/>
      <c r="G55" s="2270"/>
      <c r="H55" s="2270"/>
      <c r="I55" s="2003"/>
      <c r="J55" s="2003"/>
      <c r="K55" s="2021" t="str">
        <f>J54&amp;".1"</f>
        <v>....1.1.1</v>
      </c>
      <c r="L55" s="70"/>
      <c r="M55" s="1196" t="s">
        <v>1473</v>
      </c>
      <c r="Q55" s="2157"/>
      <c r="R55" s="2157"/>
      <c r="S55" s="446">
        <v>1</v>
      </c>
      <c r="T55" s="281"/>
      <c r="U55" s="1221" t="str">
        <f>$K55</f>
        <v>....1.1.1</v>
      </c>
      <c r="V55" s="1232"/>
      <c r="W55" s="218"/>
      <c r="X55" s="1667"/>
      <c r="Y55" s="1667"/>
      <c r="Z55" s="1667"/>
      <c r="AA55" s="1667"/>
      <c r="AB55" s="1679"/>
      <c r="AC55" s="2239"/>
      <c r="AD55" s="2031" t="s">
        <v>66</v>
      </c>
      <c r="AE55" s="2239"/>
      <c r="AF55" s="2031" t="s">
        <v>66</v>
      </c>
      <c r="AG55" s="1680"/>
      <c r="AH55" s="1667"/>
      <c r="AI55" s="1667"/>
      <c r="AJ55" s="1667"/>
      <c r="AK55" s="1669"/>
      <c r="AL55" s="2239"/>
      <c r="AM55" s="2031" t="s">
        <v>66</v>
      </c>
      <c r="AN55" s="2239"/>
      <c r="AO55" s="2031" t="s">
        <v>66</v>
      </c>
      <c r="AP55" s="1675"/>
      <c r="AQ55" s="1194" t="s">
        <v>1523</v>
      </c>
      <c r="AR55" s="439" t="e">
        <f ca="1">STRCHECKDATE(X57:AP57)</f>
        <v>#NAME?</v>
      </c>
      <c r="AS55" s="428"/>
      <c r="AT55" s="428" t="str">
        <f t="shared" si="2"/>
        <v/>
      </c>
      <c r="AU55" s="428"/>
      <c r="AV55" s="428"/>
    </row>
    <row r="56" spans="1:48" ht="11.25" customHeight="1">
      <c r="A56" s="1149" t="s">
        <v>177</v>
      </c>
      <c r="B56" s="1149" t="s">
        <v>178</v>
      </c>
      <c r="C56" s="1149" t="s">
        <v>179</v>
      </c>
      <c r="D56" s="1149" t="s">
        <v>180</v>
      </c>
      <c r="E56" s="2270"/>
      <c r="F56" s="2270"/>
      <c r="G56" s="2270"/>
      <c r="H56" s="2270"/>
      <c r="I56" s="2003"/>
      <c r="J56" s="2003"/>
      <c r="K56" s="2003"/>
      <c r="L56" s="2021" t="str">
        <f>K55&amp;".1"</f>
        <v>....1.1.1.1</v>
      </c>
      <c r="M56" s="1196"/>
      <c r="Q56" s="2157"/>
      <c r="R56" s="2157"/>
      <c r="S56" s="446">
        <v>1</v>
      </c>
      <c r="T56" s="281"/>
      <c r="U56" s="1221" t="str">
        <f>$L56</f>
        <v>....1.1.1.1</v>
      </c>
      <c r="V56" s="1270"/>
      <c r="W56" s="218"/>
      <c r="X56" s="1668"/>
      <c r="Y56" s="1667"/>
      <c r="Z56" s="1667"/>
      <c r="AA56" s="1667"/>
      <c r="AB56" s="1679"/>
      <c r="AC56" s="2240"/>
      <c r="AD56" s="2031"/>
      <c r="AE56" s="2240"/>
      <c r="AF56" s="2031"/>
      <c r="AG56" s="1680"/>
      <c r="AH56" s="1667"/>
      <c r="AI56" s="1667"/>
      <c r="AJ56" s="1667"/>
      <c r="AK56" s="1669"/>
      <c r="AL56" s="2240"/>
      <c r="AM56" s="2031"/>
      <c r="AN56" s="2240"/>
      <c r="AO56" s="2031"/>
      <c r="AP56" s="1675"/>
      <c r="AQ56" s="2257" t="s">
        <v>1524</v>
      </c>
      <c r="AR56" s="439" t="e">
        <f ca="1">STRCHECKDATE(X58:AP58)</f>
        <v>#NAME?</v>
      </c>
      <c r="AS56" s="428"/>
      <c r="AT56" s="428" t="str">
        <f t="shared" si="2"/>
        <v/>
      </c>
      <c r="AU56" s="428"/>
      <c r="AV56" s="428"/>
    </row>
    <row r="57" spans="1:48" ht="0" hidden="1" customHeight="1">
      <c r="A57" s="1149" t="s">
        <v>177</v>
      </c>
      <c r="B57" s="1149" t="s">
        <v>178</v>
      </c>
      <c r="C57" s="1149" t="s">
        <v>179</v>
      </c>
      <c r="D57" s="1149" t="s">
        <v>180</v>
      </c>
      <c r="E57" s="2270"/>
      <c r="F57" s="2270"/>
      <c r="G57" s="2270"/>
      <c r="H57" s="2270"/>
      <c r="I57" s="2003"/>
      <c r="J57" s="2003"/>
      <c r="K57" s="2003"/>
      <c r="L57" s="2021"/>
      <c r="M57" s="1196"/>
      <c r="Q57" s="2157"/>
      <c r="R57" s="2157"/>
      <c r="S57" s="446"/>
      <c r="T57" s="281"/>
      <c r="U57" s="1227"/>
      <c r="V57" s="218"/>
      <c r="W57" s="218"/>
      <c r="X57" s="1668"/>
      <c r="Y57" s="1668"/>
      <c r="Z57" s="1668"/>
      <c r="AA57" s="1668"/>
      <c r="AB57" s="1681" t="str">
        <f>AC55&amp;"-"&amp;AE55</f>
        <v>-</v>
      </c>
      <c r="AC57" s="2240"/>
      <c r="AD57" s="2031"/>
      <c r="AE57" s="2240"/>
      <c r="AF57" s="2031"/>
      <c r="AG57" s="1682"/>
      <c r="AH57" s="1668"/>
      <c r="AI57" s="1668"/>
      <c r="AJ57" s="1668"/>
      <c r="AK57" s="1670" t="str">
        <f>AL55&amp;"-"&amp;AN55</f>
        <v>-</v>
      </c>
      <c r="AL57" s="2240"/>
      <c r="AM57" s="2031"/>
      <c r="AN57" s="2240"/>
      <c r="AO57" s="2031"/>
      <c r="AP57" s="1676"/>
      <c r="AQ57" s="2258"/>
      <c r="AS57" s="428"/>
      <c r="AT57" s="428" t="str">
        <f t="shared" si="2"/>
        <v/>
      </c>
      <c r="AU57" s="428"/>
      <c r="AV57" s="428"/>
    </row>
    <row r="58" spans="1:48" ht="11.25" customHeight="1">
      <c r="A58" s="1149" t="s">
        <v>177</v>
      </c>
      <c r="B58" s="1149" t="s">
        <v>178</v>
      </c>
      <c r="C58" s="1149" t="s">
        <v>179</v>
      </c>
      <c r="D58" s="1149" t="s">
        <v>180</v>
      </c>
      <c r="E58" s="2270"/>
      <c r="F58" s="2270"/>
      <c r="G58" s="2270"/>
      <c r="H58" s="2270"/>
      <c r="I58" s="2003"/>
      <c r="J58" s="2003"/>
      <c r="K58" s="2021"/>
      <c r="L58" s="1149"/>
      <c r="M58" s="1196"/>
      <c r="Q58" s="2157"/>
      <c r="R58" s="2157"/>
      <c r="S58" s="1216"/>
      <c r="T58" s="280"/>
      <c r="U58" s="1161"/>
      <c r="V58" s="206" t="s">
        <v>1525</v>
      </c>
      <c r="W58" s="294"/>
      <c r="X58" s="294"/>
      <c r="Y58" s="294"/>
      <c r="Z58" s="294"/>
      <c r="AA58" s="294"/>
      <c r="AB58" s="294"/>
      <c r="AC58" s="2240"/>
      <c r="AD58" s="2031"/>
      <c r="AE58" s="2240"/>
      <c r="AF58" s="2031"/>
      <c r="AG58" s="294"/>
      <c r="AH58" s="294"/>
      <c r="AI58" s="294"/>
      <c r="AJ58" s="294"/>
      <c r="AK58" s="294"/>
      <c r="AL58" s="2240"/>
      <c r="AM58" s="2031"/>
      <c r="AN58" s="2240"/>
      <c r="AO58" s="2031"/>
      <c r="AP58" s="251"/>
      <c r="AQ58" s="2258"/>
      <c r="AS58" s="428"/>
      <c r="AT58" s="428" t="str">
        <f t="shared" si="2"/>
        <v>Добавить наименование поставщика</v>
      </c>
      <c r="AU58" s="428"/>
      <c r="AV58" s="428"/>
    </row>
    <row r="59" spans="1:48" ht="11.25" customHeight="1">
      <c r="A59" s="1149" t="s">
        <v>177</v>
      </c>
      <c r="B59" s="1149" t="s">
        <v>178</v>
      </c>
      <c r="C59" s="1149" t="s">
        <v>179</v>
      </c>
      <c r="D59" s="1149" t="s">
        <v>180</v>
      </c>
      <c r="E59" s="2270"/>
      <c r="F59" s="2270"/>
      <c r="G59" s="2270"/>
      <c r="H59" s="2270"/>
      <c r="I59" s="2003"/>
      <c r="J59" s="2021"/>
      <c r="K59" s="1149"/>
      <c r="L59" s="1149"/>
      <c r="M59" s="1196"/>
      <c r="Q59" s="2157"/>
      <c r="R59" s="2157"/>
      <c r="S59" s="1216"/>
      <c r="T59" s="280"/>
      <c r="U59" s="1161"/>
      <c r="V59" s="205" t="s">
        <v>1475</v>
      </c>
      <c r="W59" s="294"/>
      <c r="X59" s="294"/>
      <c r="Y59" s="294"/>
      <c r="Z59" s="294"/>
      <c r="AA59" s="294"/>
      <c r="AB59" s="294"/>
      <c r="AC59" s="1278"/>
      <c r="AD59" s="1278"/>
      <c r="AE59" s="1278"/>
      <c r="AF59" s="1278"/>
      <c r="AG59" s="294"/>
      <c r="AH59" s="294"/>
      <c r="AI59" s="294"/>
      <c r="AJ59" s="294"/>
      <c r="AK59" s="294"/>
      <c r="AL59" s="294"/>
      <c r="AM59" s="294"/>
      <c r="AN59" s="294"/>
      <c r="AO59" s="294"/>
      <c r="AP59" s="251"/>
      <c r="AQ59" s="2259"/>
      <c r="AS59" s="428"/>
      <c r="AT59" s="428" t="str">
        <f t="shared" si="2"/>
        <v>Добавить вид теплоносителя (параметры теплоносителя)</v>
      </c>
      <c r="AU59" s="428"/>
      <c r="AV59" s="428"/>
    </row>
    <row r="60" spans="1:48" ht="11.25" customHeight="1">
      <c r="A60" s="1149" t="s">
        <v>177</v>
      </c>
      <c r="B60" s="1149" t="s">
        <v>178</v>
      </c>
      <c r="C60" s="1149" t="s">
        <v>179</v>
      </c>
      <c r="D60" s="1149" t="s">
        <v>180</v>
      </c>
      <c r="E60" s="2270"/>
      <c r="F60" s="2270"/>
      <c r="G60" s="2270"/>
      <c r="H60" s="2270"/>
      <c r="I60" s="2021"/>
      <c r="J60" s="1149"/>
      <c r="K60" s="1149"/>
      <c r="L60" s="1149"/>
      <c r="M60" s="1196"/>
      <c r="Q60" s="2157"/>
      <c r="R60" s="1216"/>
      <c r="S60" s="1216"/>
      <c r="T60" s="280"/>
      <c r="U60" s="1161"/>
      <c r="V60" s="291" t="s">
        <v>1476</v>
      </c>
      <c r="W60" s="294"/>
      <c r="X60" s="294"/>
      <c r="Y60" s="294"/>
      <c r="Z60" s="294"/>
      <c r="AA60" s="294"/>
      <c r="AB60" s="294"/>
      <c r="AC60" s="294"/>
      <c r="AD60" s="294"/>
      <c r="AE60" s="294"/>
      <c r="AF60" s="293"/>
      <c r="AG60" s="294"/>
      <c r="AH60" s="294"/>
      <c r="AI60" s="294"/>
      <c r="AJ60" s="294"/>
      <c r="AK60" s="294"/>
      <c r="AL60" s="294"/>
      <c r="AM60" s="294"/>
      <c r="AN60" s="294"/>
      <c r="AO60" s="293"/>
      <c r="AP60" s="294"/>
      <c r="AQ60" s="221"/>
      <c r="AS60" s="428"/>
      <c r="AT60" s="428" t="str">
        <f t="shared" si="2"/>
        <v>Добавить группу потребителей</v>
      </c>
      <c r="AU60" s="428"/>
      <c r="AV60" s="428"/>
    </row>
    <row r="61" spans="1:48" ht="0" hidden="1" customHeight="1">
      <c r="A61" s="1149" t="s">
        <v>177</v>
      </c>
      <c r="B61" s="1149" t="s">
        <v>178</v>
      </c>
      <c r="C61" s="1149" t="s">
        <v>179</v>
      </c>
      <c r="D61" s="1149" t="s">
        <v>180</v>
      </c>
      <c r="E61" s="2270"/>
      <c r="F61" s="2270"/>
      <c r="G61" s="2270"/>
      <c r="H61" s="2269"/>
      <c r="I61" s="1149"/>
      <c r="J61" s="1149"/>
      <c r="K61" s="1149"/>
      <c r="L61" s="1149"/>
      <c r="M61" s="1196"/>
      <c r="N61" s="603"/>
      <c r="O61" s="603"/>
      <c r="P61" s="437"/>
      <c r="Q61" s="284"/>
      <c r="R61" s="303"/>
      <c r="S61" s="279"/>
      <c r="T61" s="284"/>
      <c r="U61" s="1266"/>
      <c r="V61" s="1267"/>
      <c r="W61" s="1268"/>
      <c r="X61" s="1268"/>
      <c r="Y61" s="1268"/>
      <c r="Z61" s="1268"/>
      <c r="AA61" s="1268"/>
      <c r="AB61" s="1268"/>
      <c r="AC61" s="1268"/>
      <c r="AD61" s="1268"/>
      <c r="AE61" s="1268"/>
      <c r="AF61" s="1268"/>
      <c r="AG61" s="1268"/>
      <c r="AH61" s="1268"/>
      <c r="AI61" s="1268"/>
      <c r="AJ61" s="1268"/>
      <c r="AK61" s="1268"/>
      <c r="AL61" s="1268"/>
      <c r="AM61" s="1268"/>
      <c r="AN61" s="1268"/>
      <c r="AO61" s="1268"/>
      <c r="AP61" s="1268"/>
      <c r="AQ61" s="1269"/>
      <c r="AS61" s="428"/>
      <c r="AT61" s="428" t="str">
        <f t="shared" si="2"/>
        <v/>
      </c>
      <c r="AU61" s="428"/>
      <c r="AV61" s="428"/>
    </row>
    <row r="62" spans="1:48" s="1772" customFormat="1" ht="0.75" customHeight="1">
      <c r="A62" s="1256" t="s">
        <v>177</v>
      </c>
      <c r="B62" s="1256" t="s">
        <v>178</v>
      </c>
      <c r="C62" s="1256" t="s">
        <v>179</v>
      </c>
      <c r="D62" s="1255"/>
      <c r="E62" s="2270"/>
      <c r="F62" s="2270"/>
      <c r="G62" s="2269"/>
      <c r="H62" s="1255"/>
      <c r="I62" s="1255"/>
      <c r="J62" s="1255"/>
      <c r="K62" s="1255"/>
      <c r="L62" s="1255"/>
      <c r="M62" s="1258"/>
      <c r="N62" s="1259"/>
      <c r="O62" s="1259"/>
      <c r="P62" s="275"/>
      <c r="Q62" s="1202"/>
      <c r="R62" s="1203"/>
      <c r="S62" s="1202"/>
      <c r="T62" s="1202"/>
      <c r="U62" s="1208"/>
      <c r="V62" s="1211" t="s">
        <v>1436</v>
      </c>
      <c r="W62" s="1210"/>
      <c r="X62" s="1210"/>
      <c r="Y62" s="1210"/>
      <c r="Z62" s="1210"/>
      <c r="AA62" s="1210"/>
      <c r="AB62" s="1210"/>
      <c r="AC62" s="1210"/>
      <c r="AD62" s="1210"/>
      <c r="AE62" s="1210"/>
      <c r="AF62" s="1210"/>
      <c r="AG62" s="1210"/>
      <c r="AH62" s="1210"/>
      <c r="AI62" s="1210"/>
      <c r="AJ62" s="1210"/>
      <c r="AK62" s="1210"/>
      <c r="AL62" s="1210"/>
      <c r="AM62" s="1210"/>
      <c r="AN62" s="1210"/>
      <c r="AO62" s="1210"/>
      <c r="AP62" s="1210"/>
      <c r="AQ62" s="1210"/>
      <c r="AS62" s="696"/>
      <c r="AT62" s="696" t="str">
        <f t="shared" si="2"/>
        <v>Добавить источник для дифференциации</v>
      </c>
      <c r="AU62" s="696"/>
      <c r="AV62" s="696"/>
    </row>
    <row r="63" spans="1:48" s="1772" customFormat="1" ht="0.75" customHeight="1">
      <c r="A63" s="1256" t="s">
        <v>177</v>
      </c>
      <c r="B63" s="1256" t="s">
        <v>178</v>
      </c>
      <c r="C63" s="1255"/>
      <c r="D63" s="1255"/>
      <c r="E63" s="2270"/>
      <c r="F63" s="2269"/>
      <c r="G63" s="1255"/>
      <c r="H63" s="1255"/>
      <c r="I63" s="1255"/>
      <c r="J63" s="1255"/>
      <c r="K63" s="1255"/>
      <c r="L63" s="1255"/>
      <c r="M63" s="1258"/>
      <c r="N63" s="1260"/>
      <c r="O63" s="1260"/>
      <c r="P63" s="275"/>
      <c r="Q63" s="1202"/>
      <c r="R63" s="1203"/>
      <c r="S63" s="1202"/>
      <c r="T63" s="1202"/>
      <c r="U63" s="1208"/>
      <c r="V63" s="1211" t="s">
        <v>1437</v>
      </c>
      <c r="W63" s="1210"/>
      <c r="X63" s="1210"/>
      <c r="Y63" s="1210"/>
      <c r="Z63" s="1210"/>
      <c r="AA63" s="1210"/>
      <c r="AB63" s="1210"/>
      <c r="AC63" s="1210"/>
      <c r="AD63" s="1210"/>
      <c r="AE63" s="1210"/>
      <c r="AF63" s="1210"/>
      <c r="AG63" s="1210"/>
      <c r="AH63" s="1210"/>
      <c r="AI63" s="1210"/>
      <c r="AJ63" s="1210"/>
      <c r="AK63" s="1210"/>
      <c r="AL63" s="1210"/>
      <c r="AM63" s="1210"/>
      <c r="AN63" s="1210"/>
      <c r="AO63" s="1210"/>
      <c r="AP63" s="1210"/>
      <c r="AQ63" s="1210"/>
      <c r="AS63" s="696"/>
      <c r="AT63" s="696" t="str">
        <f t="shared" si="2"/>
        <v>Добавить централизованную систему для дифференциации</v>
      </c>
      <c r="AU63" s="696"/>
      <c r="AV63" s="696"/>
    </row>
    <row r="64" spans="1:48" s="1772" customFormat="1" ht="0.75" customHeight="1">
      <c r="A64" s="1256" t="s">
        <v>177</v>
      </c>
      <c r="B64" s="1256"/>
      <c r="C64" s="1256"/>
      <c r="D64" s="1256"/>
      <c r="E64" s="2269"/>
      <c r="F64" s="1256"/>
      <c r="G64" s="1256"/>
      <c r="H64" s="1256"/>
      <c r="I64" s="1256"/>
      <c r="J64" s="1256"/>
      <c r="K64" s="1256"/>
      <c r="L64" s="1256"/>
      <c r="M64" s="1262"/>
      <c r="N64" s="1260"/>
      <c r="O64" s="1260"/>
      <c r="P64" s="275"/>
      <c r="Q64" s="311"/>
      <c r="R64" s="1229"/>
      <c r="S64" s="311"/>
      <c r="T64" s="311"/>
      <c r="U64" s="1208"/>
      <c r="V64" s="1211" t="s">
        <v>1438</v>
      </c>
      <c r="W64" s="1210"/>
      <c r="X64" s="1210"/>
      <c r="Y64" s="1210"/>
      <c r="Z64" s="1210"/>
      <c r="AA64" s="1210"/>
      <c r="AB64" s="1210"/>
      <c r="AC64" s="1210"/>
      <c r="AD64" s="1210"/>
      <c r="AE64" s="1210"/>
      <c r="AF64" s="1210"/>
      <c r="AG64" s="1210"/>
      <c r="AH64" s="1210"/>
      <c r="AI64" s="1210"/>
      <c r="AJ64" s="1210"/>
      <c r="AK64" s="1210"/>
      <c r="AL64" s="1210"/>
      <c r="AM64" s="1210"/>
      <c r="AN64" s="1210"/>
      <c r="AO64" s="1210"/>
      <c r="AP64" s="1210"/>
      <c r="AQ64" s="1210"/>
      <c r="AS64" s="428"/>
      <c r="AT64" s="428" t="str">
        <f t="shared" si="2"/>
        <v>Добавить территорию для дифференциации</v>
      </c>
      <c r="AU64" s="428"/>
      <c r="AV64" s="428"/>
    </row>
    <row r="65" spans="1:48" s="1772" customFormat="1" ht="0.75" customHeight="1">
      <c r="A65" s="1255"/>
      <c r="B65" s="1255"/>
      <c r="C65" s="1255"/>
      <c r="D65" s="1255"/>
      <c r="E65" s="1256"/>
      <c r="F65" s="1255"/>
      <c r="G65" s="1255"/>
      <c r="H65" s="1255"/>
      <c r="I65" s="1255"/>
      <c r="J65" s="1255"/>
      <c r="K65" s="1255"/>
      <c r="L65" s="1255"/>
      <c r="M65" s="1258"/>
      <c r="N65" s="1260"/>
      <c r="O65" s="1260"/>
      <c r="P65" s="275"/>
      <c r="Q65" s="1202"/>
      <c r="R65" s="1203"/>
      <c r="S65" s="1202"/>
      <c r="T65" s="1202"/>
      <c r="U65" s="1208"/>
      <c r="V65" s="1211" t="s">
        <v>1439</v>
      </c>
      <c r="W65" s="1210"/>
      <c r="X65" s="1210"/>
      <c r="Y65" s="1210"/>
      <c r="Z65" s="1210"/>
      <c r="AA65" s="1210"/>
      <c r="AB65" s="1210"/>
      <c r="AC65" s="1210"/>
      <c r="AD65" s="1210"/>
      <c r="AE65" s="1210"/>
      <c r="AF65" s="1210"/>
      <c r="AG65" s="1210"/>
      <c r="AH65" s="1210"/>
      <c r="AI65" s="1210"/>
      <c r="AJ65" s="1210"/>
      <c r="AK65" s="1210"/>
      <c r="AL65" s="1210"/>
      <c r="AM65" s="1210"/>
      <c r="AN65" s="1210"/>
      <c r="AO65" s="1210"/>
      <c r="AP65" s="1210"/>
      <c r="AQ65" s="1210"/>
      <c r="AS65" s="696"/>
      <c r="AT65" s="696" t="str">
        <f t="shared" si="2"/>
        <v>Добавить наименование тарифа</v>
      </c>
      <c r="AU65" s="696"/>
      <c r="AV65" s="696"/>
    </row>
    <row r="66" spans="1:48" ht="11.25" hidden="1" customHeight="1">
      <c r="N66" s="1031"/>
      <c r="O66" s="1031"/>
      <c r="P66" s="437"/>
      <c r="Q66" s="1031"/>
      <c r="R66" s="1031"/>
      <c r="S66" s="1031"/>
      <c r="T66" s="1031"/>
      <c r="U66" s="1031"/>
      <c r="AR66" s="1031"/>
      <c r="AS66" s="1031"/>
      <c r="AT66" s="1031"/>
      <c r="AU66" s="1031"/>
      <c r="AV66" s="1031"/>
    </row>
    <row r="67" spans="1:48" ht="33.75" hidden="1" customHeight="1">
      <c r="P67" s="437"/>
      <c r="U67" s="1128" t="s">
        <v>1509</v>
      </c>
      <c r="V67" s="2234" t="s">
        <v>1519</v>
      </c>
      <c r="W67" s="2234"/>
      <c r="X67" s="2234"/>
      <c r="Y67" s="2234"/>
      <c r="Z67" s="2234"/>
      <c r="AA67" s="2234"/>
      <c r="AB67" s="2234"/>
      <c r="AC67" s="2234"/>
      <c r="AD67" s="2234"/>
      <c r="AE67" s="2234"/>
      <c r="AF67" s="2234"/>
      <c r="AG67" s="2234"/>
      <c r="AH67" s="2234"/>
      <c r="AI67" s="2234"/>
      <c r="AJ67" s="2234"/>
      <c r="AK67" s="2234"/>
      <c r="AL67" s="2234"/>
      <c r="AM67" s="2234"/>
      <c r="AN67" s="2234"/>
      <c r="AO67" s="2234"/>
      <c r="AP67" s="2234"/>
      <c r="AQ67" s="2234"/>
    </row>
    <row r="68" spans="1:48" ht="19.5" hidden="1" customHeight="1">
      <c r="P68" s="437"/>
      <c r="V68" s="2234" t="s">
        <v>1535</v>
      </c>
      <c r="W68" s="2234"/>
      <c r="X68" s="2234"/>
      <c r="Y68" s="2234"/>
      <c r="Z68" s="2234"/>
      <c r="AA68" s="2234"/>
      <c r="AB68" s="2234"/>
      <c r="AC68" s="2234"/>
      <c r="AD68" s="2234"/>
      <c r="AE68" s="2234"/>
      <c r="AF68" s="2234"/>
      <c r="AG68" s="2234"/>
      <c r="AH68" s="2234"/>
      <c r="AI68" s="2234"/>
      <c r="AJ68" s="2234"/>
      <c r="AK68" s="2234"/>
      <c r="AL68" s="2234"/>
      <c r="AM68" s="2234"/>
      <c r="AN68" s="2234"/>
      <c r="AO68" s="2234"/>
      <c r="AP68" s="2234"/>
      <c r="AQ68" s="2234"/>
    </row>
    <row r="69" spans="1:48" ht="14.25" hidden="1" customHeight="1">
      <c r="P69" s="437"/>
    </row>
    <row r="70" spans="1:48" ht="27" hidden="1" customHeight="1">
      <c r="P70" s="437"/>
      <c r="V70" s="2234" t="s">
        <v>1536</v>
      </c>
      <c r="W70" s="2234"/>
      <c r="X70" s="2234"/>
      <c r="Y70" s="2234"/>
      <c r="Z70" s="2234"/>
      <c r="AA70" s="2234"/>
      <c r="AB70" s="2234"/>
      <c r="AC70" s="2234"/>
      <c r="AD70" s="2234"/>
      <c r="AE70" s="2234"/>
      <c r="AF70" s="2234"/>
      <c r="AG70" s="2234"/>
      <c r="AH70" s="2234"/>
      <c r="AI70" s="2234"/>
      <c r="AJ70" s="2234"/>
      <c r="AK70" s="2234"/>
      <c r="AL70" s="2234"/>
      <c r="AM70" s="2234"/>
      <c r="AN70" s="2234"/>
      <c r="AO70" s="2234"/>
      <c r="AP70" s="2234"/>
      <c r="AQ70" s="2234"/>
    </row>
    <row r="71" spans="1:48" ht="18" hidden="1" customHeight="1">
      <c r="P71" s="437"/>
      <c r="V71" s="2234" t="s">
        <v>1535</v>
      </c>
      <c r="W71" s="2234"/>
      <c r="X71" s="2234"/>
      <c r="Y71" s="2234"/>
      <c r="Z71" s="2234"/>
      <c r="AA71" s="2234"/>
      <c r="AB71" s="2234"/>
      <c r="AC71" s="2234"/>
      <c r="AD71" s="2234"/>
      <c r="AE71" s="2234"/>
      <c r="AF71" s="2234"/>
      <c r="AG71" s="2234"/>
      <c r="AH71" s="2234"/>
      <c r="AI71" s="2234"/>
      <c r="AJ71" s="2234"/>
      <c r="AK71" s="2234"/>
      <c r="AL71" s="2234"/>
      <c r="AM71" s="2234"/>
      <c r="AN71" s="2234"/>
      <c r="AO71" s="2234"/>
      <c r="AP71" s="2234"/>
      <c r="AQ71" s="2234"/>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Z69"/>
  <sheetViews>
    <sheetView showGridLines="0" topLeftCell="R26" zoomScale="90" workbookViewId="0"/>
  </sheetViews>
  <sheetFormatPr defaultColWidth="10.5703125" defaultRowHeight="14.25" customHeight="1"/>
  <cols>
    <col min="1" max="1" width="10.5703125" style="1759" hidden="1"/>
    <col min="2" max="2" width="11" style="1759" hidden="1" customWidth="1"/>
    <col min="3" max="3" width="10.5703125" style="1759" hidden="1"/>
    <col min="4" max="4" width="11.85546875" style="1759" hidden="1" customWidth="1"/>
    <col min="5" max="5" width="10" style="1759" hidden="1" customWidth="1"/>
    <col min="6" max="6" width="8.7109375" style="1759" hidden="1" customWidth="1"/>
    <col min="7" max="7" width="7.5703125" style="1759" hidden="1" customWidth="1"/>
    <col min="8" max="8" width="11.42578125" style="1759" hidden="1" customWidth="1"/>
    <col min="9" max="9" width="12" style="1759" hidden="1" customWidth="1"/>
    <col min="10" max="10" width="9.85546875" style="1759" hidden="1" customWidth="1"/>
    <col min="11" max="11" width="11.42578125" style="1759" hidden="1" customWidth="1"/>
    <col min="12" max="12" width="19.140625" style="1758" hidden="1" customWidth="1"/>
    <col min="13" max="14" width="12.28515625" style="1686" hidden="1" customWidth="1"/>
    <col min="15" max="15" width="23.42578125" style="1686" hidden="1" customWidth="1"/>
    <col min="16" max="16" width="3.7109375" style="1686" hidden="1" customWidth="1"/>
    <col min="17" max="17" width="3.7109375" style="1673" hidden="1" customWidth="1"/>
    <col min="18" max="18" width="3.7109375" style="1677" customWidth="1"/>
    <col min="19" max="19" width="12.7109375" style="1727" customWidth="1"/>
    <col min="20" max="20" width="32" style="1846" customWidth="1"/>
    <col min="21" max="21" width="0.140625" style="1846" customWidth="1"/>
    <col min="22" max="23" width="21.7109375" style="1846" hidden="1" customWidth="1"/>
    <col min="24" max="24" width="11.7109375" style="1846" hidden="1" customWidth="1"/>
    <col min="25" max="25" width="3.7109375" style="1846" hidden="1" customWidth="1"/>
    <col min="26" max="26" width="11.7109375" style="1846" hidden="1" customWidth="1"/>
    <col min="27" max="27" width="8.5703125" style="1846" hidden="1" customWidth="1"/>
    <col min="28" max="28" width="5.42578125" style="1846" customWidth="1"/>
    <col min="29" max="30" width="3.7109375" style="1846" customWidth="1"/>
    <col min="31" max="31" width="24.7109375" style="1846" customWidth="1"/>
    <col min="32" max="34" width="3.7109375" style="1846" customWidth="1"/>
    <col min="35" max="35" width="24.7109375" style="1846" customWidth="1"/>
    <col min="36" max="38" width="3.7109375" style="1846" customWidth="1"/>
    <col min="39" max="39" width="18.85546875" style="1846" customWidth="1"/>
    <col min="40" max="41" width="21.7109375" style="1846" customWidth="1"/>
    <col min="42" max="42" width="11.7109375" style="1846" customWidth="1"/>
    <col min="43" max="43" width="3.7109375" style="1846" customWidth="1"/>
    <col min="44" max="44" width="11.7109375" style="1846" customWidth="1"/>
    <col min="45" max="45" width="8.5703125" style="1846" customWidth="1"/>
    <col min="46" max="46" width="4.7109375" style="1846" customWidth="1"/>
    <col min="47" max="47" width="115.7109375" style="1846" customWidth="1"/>
    <col min="48" max="49" width="10.5703125" style="1772"/>
    <col min="50" max="50" width="11.140625" style="1772" customWidth="1"/>
    <col min="51" max="52" width="10.5703125" style="1772"/>
  </cols>
  <sheetData>
    <row r="1" spans="1:52" ht="14.25" hidden="1" customHeight="1">
      <c r="W1" s="254"/>
      <c r="X1" s="254"/>
      <c r="AO1" s="254"/>
      <c r="AP1" s="254"/>
    </row>
    <row r="2" spans="1:52" ht="21" hidden="1" customHeight="1">
      <c r="A2" s="1244"/>
      <c r="B2" s="1244"/>
      <c r="C2" s="1244"/>
      <c r="D2" s="1244"/>
      <c r="E2" s="2235">
        <v>1</v>
      </c>
      <c r="F2" s="1244"/>
      <c r="G2" s="1244"/>
      <c r="H2" s="1244"/>
      <c r="I2" s="1244"/>
      <c r="J2" s="1244"/>
      <c r="K2" s="1244"/>
      <c r="L2" s="1245"/>
      <c r="M2" s="1246"/>
      <c r="N2" s="1246"/>
      <c r="O2" s="1246"/>
      <c r="P2" s="1279"/>
      <c r="Q2" s="771"/>
      <c r="R2" s="279"/>
      <c r="S2" s="1221" t="e">
        <f>INDEX(PT_DIFFERENTIATION_NUM_NTAR,MATCH(A2,PT_DIFFERENTIATION_NTAR_ID,0))</f>
        <v>#N/A</v>
      </c>
      <c r="T2" s="216" t="s">
        <v>124</v>
      </c>
      <c r="U2" s="218"/>
      <c r="V2" s="2230"/>
      <c r="W2" s="2230"/>
      <c r="X2" s="2230"/>
      <c r="Y2" s="2230"/>
      <c r="Z2" s="2230"/>
      <c r="AA2" s="2231"/>
      <c r="AB2" s="2229" t="e">
        <f>INDEX(PT_DIFFERENTIATION_NTAR,MATCH(A2,PT_DIFFERENTIATION_NTAR_ID,0))</f>
        <v>#N/A</v>
      </c>
      <c r="AC2" s="2230"/>
      <c r="AD2" s="2230"/>
      <c r="AE2" s="2230"/>
      <c r="AF2" s="2230"/>
      <c r="AG2" s="2230"/>
      <c r="AH2" s="2230"/>
      <c r="AI2" s="2230"/>
      <c r="AJ2" s="2230"/>
      <c r="AK2" s="2230"/>
      <c r="AL2" s="2230"/>
      <c r="AM2" s="2230"/>
      <c r="AN2" s="2230"/>
      <c r="AO2" s="2230"/>
      <c r="AP2" s="2230"/>
      <c r="AQ2" s="2230"/>
      <c r="AR2" s="2230"/>
      <c r="AS2" s="2230"/>
      <c r="AT2" s="2231"/>
      <c r="AU2" s="1140" t="s">
        <v>1460</v>
      </c>
      <c r="AW2" s="428"/>
      <c r="AX2" s="428" t="str">
        <f t="shared" ref="AX2:AX8" si="0">IF(T2="","",T2)</f>
        <v>Наименование тарифа</v>
      </c>
      <c r="AY2" s="428"/>
      <c r="AZ2" s="428"/>
    </row>
    <row r="3" spans="1:52" ht="21" hidden="1" customHeight="1">
      <c r="A3" s="1244"/>
      <c r="B3" s="1244"/>
      <c r="C3" s="1244"/>
      <c r="D3" s="1244"/>
      <c r="E3" s="2236"/>
      <c r="F3" s="2235">
        <v>1</v>
      </c>
      <c r="G3" s="1244"/>
      <c r="H3" s="1244"/>
      <c r="I3" s="1244"/>
      <c r="J3" s="1244"/>
      <c r="K3" s="1244"/>
      <c r="L3" s="1245"/>
      <c r="M3" s="1246"/>
      <c r="N3" s="1246"/>
      <c r="O3" s="1246"/>
      <c r="P3" s="1280"/>
      <c r="Q3" s="1281"/>
      <c r="R3" s="277"/>
      <c r="S3" s="1221" t="e">
        <f>INDEX(PT_DIFFERENTIATION_NUM_TER,MATCH(B3,PT_DIFFERENTIATION_TER_ID,0))</f>
        <v>#N/A</v>
      </c>
      <c r="T3" s="228" t="s">
        <v>1461</v>
      </c>
      <c r="U3" s="218"/>
      <c r="V3" s="2230"/>
      <c r="W3" s="2230"/>
      <c r="X3" s="2230"/>
      <c r="Y3" s="2230"/>
      <c r="Z3" s="2230"/>
      <c r="AA3" s="2231"/>
      <c r="AB3" s="2229" t="e">
        <f>INDEX(PT_DIFFERENTIATION_TER,MATCH(B3,PT_DIFFERENTIATION_TER_ID,0))</f>
        <v>#N/A</v>
      </c>
      <c r="AC3" s="2230"/>
      <c r="AD3" s="2230"/>
      <c r="AE3" s="2230"/>
      <c r="AF3" s="2230"/>
      <c r="AG3" s="2230"/>
      <c r="AH3" s="2230"/>
      <c r="AI3" s="2230"/>
      <c r="AJ3" s="2230"/>
      <c r="AK3" s="2230"/>
      <c r="AL3" s="2230"/>
      <c r="AM3" s="2230"/>
      <c r="AN3" s="2230"/>
      <c r="AO3" s="2230"/>
      <c r="AP3" s="2230"/>
      <c r="AQ3" s="2230"/>
      <c r="AR3" s="2230"/>
      <c r="AS3" s="2230"/>
      <c r="AT3" s="2231"/>
      <c r="AU3" s="1140" t="s">
        <v>1462</v>
      </c>
      <c r="AW3" s="428"/>
      <c r="AX3" s="428" t="str">
        <f t="shared" si="0"/>
        <v>Территория действия тарифа</v>
      </c>
      <c r="AY3" s="428"/>
      <c r="AZ3" s="428"/>
    </row>
    <row r="4" spans="1:52" ht="22.5" hidden="1" customHeight="1">
      <c r="A4" s="1244"/>
      <c r="B4" s="1244"/>
      <c r="C4" s="1244"/>
      <c r="D4" s="1244"/>
      <c r="E4" s="2236"/>
      <c r="F4" s="2236"/>
      <c r="G4" s="2235">
        <v>1</v>
      </c>
      <c r="H4" s="1244"/>
      <c r="I4" s="1244"/>
      <c r="J4" s="1244"/>
      <c r="K4" s="1244"/>
      <c r="L4" s="1245"/>
      <c r="M4" s="1246"/>
      <c r="N4" s="1246"/>
      <c r="O4" s="1246"/>
      <c r="P4" s="1282"/>
      <c r="Q4" s="1281"/>
      <c r="R4" s="277"/>
      <c r="S4" s="1221" t="e">
        <f>INDEX(PT_DIFFERENTIATION_NUM_CS,MATCH(C4,PT_DIFFERENTIATION_CS_ID,0))</f>
        <v>#N/A</v>
      </c>
      <c r="T4" s="229" t="s">
        <v>1463</v>
      </c>
      <c r="U4" s="218"/>
      <c r="V4" s="2230"/>
      <c r="W4" s="2230"/>
      <c r="X4" s="2230"/>
      <c r="Y4" s="2230"/>
      <c r="Z4" s="2230"/>
      <c r="AA4" s="2231"/>
      <c r="AB4" s="2229" t="e">
        <f>INDEX(PT_DIFFERENTIATION_CS,MATCH(C4,PT_DIFFERENTIATION_CS_ID,0))</f>
        <v>#N/A</v>
      </c>
      <c r="AC4" s="2230"/>
      <c r="AD4" s="2230"/>
      <c r="AE4" s="2230"/>
      <c r="AF4" s="2230"/>
      <c r="AG4" s="2230"/>
      <c r="AH4" s="2230"/>
      <c r="AI4" s="2230"/>
      <c r="AJ4" s="2230"/>
      <c r="AK4" s="2230"/>
      <c r="AL4" s="2230"/>
      <c r="AM4" s="2230"/>
      <c r="AN4" s="2230"/>
      <c r="AO4" s="2230"/>
      <c r="AP4" s="2230"/>
      <c r="AQ4" s="2230"/>
      <c r="AR4" s="2230"/>
      <c r="AS4" s="2230"/>
      <c r="AT4" s="2231"/>
      <c r="AU4" s="1140" t="s">
        <v>1464</v>
      </c>
      <c r="AW4" s="428"/>
      <c r="AX4" s="428" t="str">
        <f t="shared" si="0"/>
        <v xml:space="preserve">Наименование системы теплоснабжения </v>
      </c>
      <c r="AY4" s="428"/>
      <c r="AZ4" s="428"/>
    </row>
    <row r="5" spans="1:52" ht="21" hidden="1" customHeight="1">
      <c r="A5" s="1244"/>
      <c r="B5" s="1244"/>
      <c r="C5" s="1244"/>
      <c r="D5" s="1244"/>
      <c r="E5" s="2236"/>
      <c r="F5" s="2236"/>
      <c r="G5" s="2236"/>
      <c r="H5" s="2235">
        <v>1</v>
      </c>
      <c r="I5" s="1244"/>
      <c r="J5" s="1244"/>
      <c r="K5" s="1244"/>
      <c r="L5" s="1245"/>
      <c r="M5" s="1246"/>
      <c r="N5" s="1246"/>
      <c r="O5" s="1246"/>
      <c r="P5" s="1282"/>
      <c r="Q5" s="1281"/>
      <c r="R5" s="277"/>
      <c r="S5" s="1221" t="e">
        <f>INDEX(PT_DIFFERENTIATION_NUM_IST_TE,MATCH(D5,PT_DIFFERENTIATION_IST_TE_ID,0))</f>
        <v>#N/A</v>
      </c>
      <c r="T5" s="230" t="s">
        <v>1465</v>
      </c>
      <c r="U5" s="218"/>
      <c r="V5" s="2230"/>
      <c r="W5" s="2230"/>
      <c r="X5" s="2230"/>
      <c r="Y5" s="2230"/>
      <c r="Z5" s="2230"/>
      <c r="AA5" s="2231"/>
      <c r="AB5" s="2229" t="e">
        <f>INDEX(PT_DIFFERENTIATION_IST_TE,MATCH(D5,PT_DIFFERENTIATION_IST_TE_ID,0))</f>
        <v>#N/A</v>
      </c>
      <c r="AC5" s="2230"/>
      <c r="AD5" s="2230"/>
      <c r="AE5" s="2230"/>
      <c r="AF5" s="2230"/>
      <c r="AG5" s="2230"/>
      <c r="AH5" s="2230"/>
      <c r="AI5" s="2230"/>
      <c r="AJ5" s="2230"/>
      <c r="AK5" s="2230"/>
      <c r="AL5" s="2230"/>
      <c r="AM5" s="2230"/>
      <c r="AN5" s="2230"/>
      <c r="AO5" s="2230"/>
      <c r="AP5" s="2230"/>
      <c r="AQ5" s="2230"/>
      <c r="AR5" s="2230"/>
      <c r="AS5" s="2230"/>
      <c r="AT5" s="2231"/>
      <c r="AU5" s="1140" t="s">
        <v>1466</v>
      </c>
      <c r="AW5" s="428"/>
      <c r="AX5" s="428" t="str">
        <f t="shared" si="0"/>
        <v xml:space="preserve">Источник тепловой энергии  </v>
      </c>
      <c r="AY5" s="428"/>
      <c r="AZ5" s="428"/>
    </row>
    <row r="6" spans="1:52" s="1772" customFormat="1" ht="14.25" hidden="1" customHeight="1">
      <c r="A6" s="1228"/>
      <c r="B6" s="1228"/>
      <c r="C6" s="1228"/>
      <c r="D6" s="1228"/>
      <c r="E6" s="2236"/>
      <c r="F6" s="2236"/>
      <c r="G6" s="2236"/>
      <c r="H6" s="2236"/>
      <c r="I6" s="2237" t="e">
        <f>S5&amp;".1"</f>
        <v>#N/A</v>
      </c>
      <c r="J6" s="1228"/>
      <c r="K6" s="1228"/>
      <c r="L6" s="1231" t="s">
        <v>1467</v>
      </c>
      <c r="M6" s="438"/>
      <c r="N6" s="438"/>
      <c r="O6" s="438"/>
      <c r="P6" s="2157">
        <v>1</v>
      </c>
      <c r="Q6" s="1216"/>
      <c r="R6" s="280"/>
      <c r="S6" s="932"/>
      <c r="T6" s="1263"/>
      <c r="U6" s="1264"/>
      <c r="V6" s="2264"/>
      <c r="W6" s="2264"/>
      <c r="X6" s="2264"/>
      <c r="Y6" s="2264"/>
      <c r="Z6" s="2264"/>
      <c r="AA6" s="2265"/>
      <c r="AB6" s="2263"/>
      <c r="AC6" s="2264"/>
      <c r="AD6" s="2264"/>
      <c r="AE6" s="2264"/>
      <c r="AF6" s="2264"/>
      <c r="AG6" s="2264"/>
      <c r="AH6" s="2264"/>
      <c r="AI6" s="2264"/>
      <c r="AJ6" s="2264"/>
      <c r="AK6" s="2264"/>
      <c r="AL6" s="2264"/>
      <c r="AM6" s="2264"/>
      <c r="AN6" s="2264"/>
      <c r="AO6" s="2264"/>
      <c r="AP6" s="2264"/>
      <c r="AQ6" s="2264"/>
      <c r="AR6" s="2264"/>
      <c r="AS6" s="2264"/>
      <c r="AT6" s="2265"/>
      <c r="AU6" s="1265"/>
      <c r="AW6" s="428"/>
      <c r="AX6" s="428" t="str">
        <f t="shared" si="0"/>
        <v/>
      </c>
      <c r="AY6" s="428"/>
      <c r="AZ6" s="428"/>
    </row>
    <row r="7" spans="1:52" s="1772" customFormat="1" ht="14.25" hidden="1" customHeight="1">
      <c r="A7" s="1228"/>
      <c r="B7" s="1228"/>
      <c r="C7" s="1228"/>
      <c r="D7" s="1228"/>
      <c r="E7" s="2236"/>
      <c r="F7" s="2236"/>
      <c r="G7" s="2236"/>
      <c r="H7" s="2236"/>
      <c r="I7" s="2238"/>
      <c r="J7" s="2237" t="e">
        <f>S5&amp;".1"</f>
        <v>#N/A</v>
      </c>
      <c r="K7" s="1228"/>
      <c r="L7" s="1231"/>
      <c r="M7" s="438"/>
      <c r="N7" s="438"/>
      <c r="O7" s="438"/>
      <c r="P7" s="2157"/>
      <c r="Q7" s="2157">
        <v>1</v>
      </c>
      <c r="R7" s="281"/>
      <c r="S7" s="932"/>
      <c r="T7" s="1273"/>
      <c r="U7" s="1264"/>
      <c r="V7" s="2264"/>
      <c r="W7" s="2264"/>
      <c r="X7" s="2264"/>
      <c r="Y7" s="2264"/>
      <c r="Z7" s="2264"/>
      <c r="AA7" s="2265"/>
      <c r="AB7" s="2263"/>
      <c r="AC7" s="2264"/>
      <c r="AD7" s="2264"/>
      <c r="AE7" s="2264"/>
      <c r="AF7" s="2264"/>
      <c r="AG7" s="2264"/>
      <c r="AH7" s="2264"/>
      <c r="AI7" s="2264"/>
      <c r="AJ7" s="2264"/>
      <c r="AK7" s="2264"/>
      <c r="AL7" s="2264"/>
      <c r="AM7" s="2264"/>
      <c r="AN7" s="2264"/>
      <c r="AO7" s="2264"/>
      <c r="AP7" s="2264"/>
      <c r="AQ7" s="2264"/>
      <c r="AR7" s="2264"/>
      <c r="AS7" s="2264"/>
      <c r="AT7" s="2265"/>
      <c r="AU7" s="1265"/>
      <c r="AW7" s="428"/>
      <c r="AX7" s="428" t="str">
        <f t="shared" si="0"/>
        <v/>
      </c>
      <c r="AY7" s="428"/>
      <c r="AZ7" s="428"/>
    </row>
    <row r="8" spans="1:52" ht="21" hidden="1" customHeight="1">
      <c r="A8" s="1244"/>
      <c r="B8" s="1244"/>
      <c r="C8" s="1244"/>
      <c r="D8" s="1244"/>
      <c r="E8" s="2236"/>
      <c r="F8" s="2236"/>
      <c r="G8" s="2236"/>
      <c r="H8" s="2236"/>
      <c r="I8" s="2238"/>
      <c r="J8" s="2238"/>
      <c r="K8" s="2237" t="e">
        <f>S5&amp;".1"</f>
        <v>#N/A</v>
      </c>
      <c r="L8" s="1245"/>
      <c r="P8" s="2157"/>
      <c r="Q8" s="2157"/>
      <c r="R8" s="2289">
        <v>1</v>
      </c>
      <c r="S8" s="2286" t="e">
        <f>$K8</f>
        <v>#N/A</v>
      </c>
      <c r="T8" s="2283"/>
      <c r="U8" s="218"/>
      <c r="V8" s="1667"/>
      <c r="W8" s="1669"/>
      <c r="X8" s="2239"/>
      <c r="Y8" s="2031" t="s">
        <v>66</v>
      </c>
      <c r="Z8" s="2239"/>
      <c r="AA8" s="2031" t="s">
        <v>66</v>
      </c>
      <c r="AB8" s="2031" t="s">
        <v>56</v>
      </c>
      <c r="AC8" s="2282"/>
      <c r="AD8" s="2281">
        <v>1</v>
      </c>
      <c r="AE8" s="2290"/>
      <c r="AF8" s="2031" t="s">
        <v>56</v>
      </c>
      <c r="AG8" s="2282"/>
      <c r="AH8" s="2281">
        <v>1</v>
      </c>
      <c r="AI8" s="2290"/>
      <c r="AJ8" s="2031" t="s">
        <v>56</v>
      </c>
      <c r="AK8" s="231"/>
      <c r="AL8" s="1222">
        <v>1</v>
      </c>
      <c r="AM8" s="1272"/>
      <c r="AN8" s="1667"/>
      <c r="AO8" s="1669"/>
      <c r="AP8" s="1593"/>
      <c r="AQ8" s="1324" t="s">
        <v>66</v>
      </c>
      <c r="AR8" s="1593"/>
      <c r="AS8" s="1324" t="s">
        <v>66</v>
      </c>
      <c r="AT8" s="1675"/>
      <c r="AU8" s="2257" t="s">
        <v>1537</v>
      </c>
      <c r="AV8" s="439" t="e">
        <f ca="1">STRCHECKDATE(V11:AT11)</f>
        <v>#NAME?</v>
      </c>
      <c r="AW8" s="428"/>
      <c r="AX8" s="428" t="str">
        <f t="shared" si="0"/>
        <v/>
      </c>
      <c r="AY8" s="428"/>
      <c r="AZ8" s="428"/>
    </row>
    <row r="9" spans="1:52" ht="11.25" hidden="1" customHeight="1">
      <c r="A9" s="1244"/>
      <c r="B9" s="1244"/>
      <c r="C9" s="1244"/>
      <c r="D9" s="1244"/>
      <c r="E9" s="2236"/>
      <c r="F9" s="2236"/>
      <c r="G9" s="2236"/>
      <c r="H9" s="2236"/>
      <c r="I9" s="2238"/>
      <c r="J9" s="2238"/>
      <c r="K9" s="2237"/>
      <c r="L9" s="1245"/>
      <c r="P9" s="2157"/>
      <c r="Q9" s="2157"/>
      <c r="R9" s="2289"/>
      <c r="S9" s="2287"/>
      <c r="T9" s="2284"/>
      <c r="U9" s="218"/>
      <c r="V9" s="1683"/>
      <c r="W9" s="1688"/>
      <c r="X9" s="2239"/>
      <c r="Y9" s="2031"/>
      <c r="Z9" s="2239"/>
      <c r="AA9" s="2031"/>
      <c r="AB9" s="2031"/>
      <c r="AC9" s="2282"/>
      <c r="AD9" s="2281"/>
      <c r="AE9" s="2290"/>
      <c r="AF9" s="2031"/>
      <c r="AG9" s="2282"/>
      <c r="AH9" s="2281"/>
      <c r="AI9" s="2290"/>
      <c r="AJ9" s="2031"/>
      <c r="AK9" s="238"/>
      <c r="AL9" s="351"/>
      <c r="AM9" s="350" t="s">
        <v>1538</v>
      </c>
      <c r="AN9" s="1683"/>
      <c r="AO9" s="1689"/>
      <c r="AP9" s="1683"/>
      <c r="AQ9" s="1683"/>
      <c r="AR9" s="1683"/>
      <c r="AS9" s="1683"/>
      <c r="AT9" s="1690"/>
      <c r="AU9" s="2258"/>
      <c r="AW9" s="428"/>
      <c r="AX9" s="428"/>
      <c r="AY9" s="428"/>
      <c r="AZ9" s="428"/>
    </row>
    <row r="10" spans="1:52" ht="11.25" hidden="1" customHeight="1">
      <c r="A10" s="1244"/>
      <c r="B10" s="1244"/>
      <c r="C10" s="1244"/>
      <c r="D10" s="1244"/>
      <c r="E10" s="2236"/>
      <c r="F10" s="2236"/>
      <c r="G10" s="2236"/>
      <c r="H10" s="2236"/>
      <c r="I10" s="2238"/>
      <c r="J10" s="2238"/>
      <c r="K10" s="2237"/>
      <c r="L10" s="1245"/>
      <c r="P10" s="2157"/>
      <c r="Q10" s="2157"/>
      <c r="R10" s="2289"/>
      <c r="S10" s="2287"/>
      <c r="T10" s="2284"/>
      <c r="U10" s="218"/>
      <c r="V10" s="1683"/>
      <c r="W10" s="1688"/>
      <c r="X10" s="2239"/>
      <c r="Y10" s="2031"/>
      <c r="Z10" s="2239"/>
      <c r="AA10" s="2031"/>
      <c r="AB10" s="2031"/>
      <c r="AC10" s="2282"/>
      <c r="AD10" s="2281"/>
      <c r="AE10" s="2290"/>
      <c r="AF10" s="2031"/>
      <c r="AG10" s="212"/>
      <c r="AH10" s="350"/>
      <c r="AI10" s="350" t="s">
        <v>1539</v>
      </c>
      <c r="AJ10" s="1683"/>
      <c r="AK10" s="1683"/>
      <c r="AL10" s="1683"/>
      <c r="AM10" s="1683"/>
      <c r="AN10" s="1683"/>
      <c r="AO10" s="1689"/>
      <c r="AP10" s="1683"/>
      <c r="AQ10" s="1683"/>
      <c r="AR10" s="1683"/>
      <c r="AS10" s="1683"/>
      <c r="AT10" s="1690"/>
      <c r="AU10" s="2258"/>
      <c r="AW10" s="428"/>
      <c r="AX10" s="428"/>
      <c r="AY10" s="428"/>
      <c r="AZ10" s="428"/>
    </row>
    <row r="11" spans="1:52" ht="11.25" hidden="1" customHeight="1">
      <c r="A11" s="1244"/>
      <c r="B11" s="1244"/>
      <c r="C11" s="1244"/>
      <c r="D11" s="1244"/>
      <c r="E11" s="2236"/>
      <c r="F11" s="2236"/>
      <c r="G11" s="2236"/>
      <c r="H11" s="2236"/>
      <c r="I11" s="2238"/>
      <c r="J11" s="2238"/>
      <c r="K11" s="2237"/>
      <c r="L11" s="1245"/>
      <c r="P11" s="2157"/>
      <c r="Q11" s="2157"/>
      <c r="R11" s="2289"/>
      <c r="S11" s="2288"/>
      <c r="T11" s="2285"/>
      <c r="U11" s="218"/>
      <c r="V11" s="1683"/>
      <c r="W11" s="1691" t="str">
        <f>X8&amp;"-"&amp;Z8</f>
        <v>-</v>
      </c>
      <c r="X11" s="2240"/>
      <c r="Y11" s="2031"/>
      <c r="Z11" s="2240"/>
      <c r="AA11" s="2031"/>
      <c r="AB11" s="2031"/>
      <c r="AC11" s="232"/>
      <c r="AD11" s="234"/>
      <c r="AE11" s="350" t="s">
        <v>1540</v>
      </c>
      <c r="AF11" s="1683"/>
      <c r="AG11" s="1683"/>
      <c r="AH11" s="1683"/>
      <c r="AI11" s="1683"/>
      <c r="AJ11" s="1683"/>
      <c r="AK11" s="1683"/>
      <c r="AL11" s="1683"/>
      <c r="AM11" s="1683"/>
      <c r="AN11" s="1683"/>
      <c r="AO11" s="1684" t="str">
        <f>AP8&amp;"-"&amp;AR8</f>
        <v>-</v>
      </c>
      <c r="AP11" s="1683"/>
      <c r="AQ11" s="1683"/>
      <c r="AR11" s="1683"/>
      <c r="AS11" s="1683"/>
      <c r="AT11" s="1676"/>
      <c r="AU11" s="2258"/>
      <c r="AW11" s="428"/>
      <c r="AX11" s="428" t="str">
        <f t="shared" ref="AX11:AX17" si="1">IF(T11="","",T11)</f>
        <v/>
      </c>
      <c r="AY11" s="428"/>
      <c r="AZ11" s="428"/>
    </row>
    <row r="12" spans="1:52" ht="11.25" hidden="1" customHeight="1">
      <c r="A12" s="1244"/>
      <c r="B12" s="1244"/>
      <c r="C12" s="1244"/>
      <c r="D12" s="1244"/>
      <c r="E12" s="2236"/>
      <c r="F12" s="2236"/>
      <c r="G12" s="2236"/>
      <c r="H12" s="2236"/>
      <c r="I12" s="2238"/>
      <c r="J12" s="2237"/>
      <c r="K12" s="1244"/>
      <c r="L12" s="1245"/>
      <c r="P12" s="2157"/>
      <c r="Q12" s="2157"/>
      <c r="R12" s="280"/>
      <c r="S12" s="1161"/>
      <c r="T12" s="205" t="s">
        <v>1541</v>
      </c>
      <c r="U12" s="294"/>
      <c r="V12" s="294"/>
      <c r="W12" s="294"/>
      <c r="X12" s="294"/>
      <c r="Y12" s="294"/>
      <c r="Z12" s="294"/>
      <c r="AA12" s="294"/>
      <c r="AB12" s="294"/>
      <c r="AC12" s="294"/>
      <c r="AD12" s="294"/>
      <c r="AE12" s="294"/>
      <c r="AF12" s="294"/>
      <c r="AG12" s="294"/>
      <c r="AH12" s="294"/>
      <c r="AI12" s="294"/>
      <c r="AJ12" s="294"/>
      <c r="AK12" s="294"/>
      <c r="AL12" s="294"/>
      <c r="AM12" s="294"/>
      <c r="AN12" s="294"/>
      <c r="AO12" s="294"/>
      <c r="AP12" s="294"/>
      <c r="AQ12" s="294"/>
      <c r="AR12" s="294"/>
      <c r="AS12" s="294"/>
      <c r="AT12" s="251"/>
      <c r="AU12" s="2259"/>
      <c r="AW12" s="428"/>
      <c r="AX12" s="428" t="str">
        <f t="shared" si="1"/>
        <v>Добавить строку</v>
      </c>
      <c r="AY12" s="428"/>
      <c r="AZ12" s="428"/>
    </row>
    <row r="13" spans="1:52" s="1772" customFormat="1" ht="14.25" hidden="1" customHeight="1">
      <c r="A13" s="1228"/>
      <c r="B13" s="1228"/>
      <c r="C13" s="1228"/>
      <c r="D13" s="1228"/>
      <c r="E13" s="2236"/>
      <c r="F13" s="2236"/>
      <c r="G13" s="2236"/>
      <c r="H13" s="2236"/>
      <c r="I13" s="2237"/>
      <c r="J13" s="1228"/>
      <c r="K13" s="1228"/>
      <c r="L13" s="1231"/>
      <c r="M13" s="438"/>
      <c r="N13" s="438"/>
      <c r="O13" s="438"/>
      <c r="P13" s="2157"/>
      <c r="Q13" s="1216"/>
      <c r="R13" s="280"/>
      <c r="S13" s="1266"/>
      <c r="T13" s="1267"/>
      <c r="U13" s="1268"/>
      <c r="V13" s="1268"/>
      <c r="W13" s="1268"/>
      <c r="X13" s="1268"/>
      <c r="Y13" s="1268"/>
      <c r="Z13" s="1268"/>
      <c r="AA13" s="1268"/>
      <c r="AB13" s="1268"/>
      <c r="AC13" s="1268"/>
      <c r="AD13" s="1268"/>
      <c r="AE13" s="1268"/>
      <c r="AF13" s="1268"/>
      <c r="AG13" s="1268"/>
      <c r="AH13" s="1268"/>
      <c r="AI13" s="1268"/>
      <c r="AJ13" s="1268"/>
      <c r="AK13" s="1268"/>
      <c r="AL13" s="1268"/>
      <c r="AM13" s="1268"/>
      <c r="AN13" s="1268"/>
      <c r="AO13" s="1268"/>
      <c r="AP13" s="1268"/>
      <c r="AQ13" s="1268"/>
      <c r="AR13" s="1268"/>
      <c r="AS13" s="1268"/>
      <c r="AT13" s="1268"/>
      <c r="AU13" s="1269"/>
      <c r="AW13" s="428"/>
      <c r="AX13" s="428" t="str">
        <f t="shared" si="1"/>
        <v/>
      </c>
      <c r="AY13" s="428"/>
      <c r="AZ13" s="428"/>
    </row>
    <row r="14" spans="1:52" s="1772" customFormat="1" ht="14.25" hidden="1" customHeight="1">
      <c r="A14" s="1228"/>
      <c r="B14" s="1228"/>
      <c r="C14" s="1228"/>
      <c r="D14" s="1228"/>
      <c r="E14" s="2236"/>
      <c r="F14" s="2236"/>
      <c r="G14" s="2236"/>
      <c r="H14" s="2235"/>
      <c r="I14" s="1228"/>
      <c r="J14" s="1228"/>
      <c r="K14" s="1228"/>
      <c r="L14" s="1231"/>
      <c r="M14" s="1201"/>
      <c r="N14" s="1201"/>
      <c r="O14" s="446"/>
      <c r="P14" s="311"/>
      <c r="Q14" s="1229"/>
      <c r="R14" s="1275"/>
      <c r="S14" s="1266"/>
      <c r="T14" s="1267"/>
      <c r="U14" s="1268"/>
      <c r="V14" s="1268"/>
      <c r="W14" s="1268"/>
      <c r="X14" s="1268"/>
      <c r="Y14" s="1268"/>
      <c r="Z14" s="1268"/>
      <c r="AA14" s="1268"/>
      <c r="AB14" s="1268"/>
      <c r="AC14" s="1268"/>
      <c r="AD14" s="1268"/>
      <c r="AE14" s="1268"/>
      <c r="AF14" s="1268"/>
      <c r="AG14" s="1268"/>
      <c r="AH14" s="1268"/>
      <c r="AI14" s="1268"/>
      <c r="AJ14" s="1268"/>
      <c r="AK14" s="1268"/>
      <c r="AL14" s="1268"/>
      <c r="AM14" s="1268"/>
      <c r="AN14" s="1268"/>
      <c r="AO14" s="1268"/>
      <c r="AP14" s="1268"/>
      <c r="AQ14" s="1268"/>
      <c r="AR14" s="1268"/>
      <c r="AS14" s="1268"/>
      <c r="AT14" s="1268"/>
      <c r="AU14" s="1269"/>
      <c r="AW14" s="428"/>
      <c r="AX14" s="428" t="str">
        <f t="shared" si="1"/>
        <v/>
      </c>
      <c r="AY14" s="428"/>
      <c r="AZ14" s="428"/>
    </row>
    <row r="15" spans="1:52" s="1772" customFormat="1" ht="14.25" hidden="1" customHeight="1">
      <c r="A15" s="1228"/>
      <c r="B15" s="1228"/>
      <c r="C15" s="1228"/>
      <c r="D15" s="1200"/>
      <c r="E15" s="2236"/>
      <c r="F15" s="2236"/>
      <c r="G15" s="2235"/>
      <c r="H15" s="1200"/>
      <c r="I15" s="1200"/>
      <c r="J15" s="1200"/>
      <c r="K15" s="1200"/>
      <c r="L15" s="1224"/>
      <c r="M15" s="1201"/>
      <c r="N15" s="1201"/>
      <c r="P15" s="1202"/>
      <c r="Q15" s="1203"/>
      <c r="R15" s="1202"/>
      <c r="S15" s="1208"/>
      <c r="T15" s="1211" t="s">
        <v>1436</v>
      </c>
      <c r="U15" s="1210"/>
      <c r="V15" s="1210"/>
      <c r="W15" s="1210"/>
      <c r="X15" s="1210"/>
      <c r="Y15" s="1210"/>
      <c r="Z15" s="1210"/>
      <c r="AA15" s="1210"/>
      <c r="AB15" s="1210"/>
      <c r="AC15" s="1210"/>
      <c r="AD15" s="1210"/>
      <c r="AE15" s="1210"/>
      <c r="AF15" s="1210"/>
      <c r="AG15" s="1210"/>
      <c r="AH15" s="1210"/>
      <c r="AI15" s="1210"/>
      <c r="AJ15" s="1210"/>
      <c r="AK15" s="1210"/>
      <c r="AL15" s="1210"/>
      <c r="AM15" s="1210"/>
      <c r="AN15" s="1210"/>
      <c r="AO15" s="1210"/>
      <c r="AP15" s="1210"/>
      <c r="AQ15" s="1210"/>
      <c r="AR15" s="1210"/>
      <c r="AS15" s="1210"/>
      <c r="AT15" s="1210"/>
      <c r="AU15" s="1210"/>
      <c r="AW15" s="696"/>
      <c r="AX15" s="696" t="str">
        <f t="shared" si="1"/>
        <v>Добавить источник для дифференциации</v>
      </c>
      <c r="AY15" s="696"/>
      <c r="AZ15" s="696"/>
    </row>
    <row r="16" spans="1:52" s="1772" customFormat="1" ht="14.25" hidden="1" customHeight="1">
      <c r="A16" s="1228"/>
      <c r="B16" s="1228"/>
      <c r="C16" s="1200"/>
      <c r="D16" s="1200"/>
      <c r="E16" s="2236"/>
      <c r="F16" s="2235"/>
      <c r="G16" s="1200"/>
      <c r="H16" s="1200"/>
      <c r="I16" s="1200"/>
      <c r="J16" s="1200"/>
      <c r="K16" s="1200"/>
      <c r="L16" s="1224"/>
      <c r="M16" s="1207"/>
      <c r="N16" s="1207"/>
      <c r="P16" s="1202"/>
      <c r="Q16" s="1203"/>
      <c r="R16" s="1202"/>
      <c r="S16" s="1208"/>
      <c r="T16" s="1211" t="s">
        <v>1437</v>
      </c>
      <c r="U16" s="1210"/>
      <c r="V16" s="1210"/>
      <c r="W16" s="1210"/>
      <c r="X16" s="1210"/>
      <c r="Y16" s="1210"/>
      <c r="Z16" s="1210"/>
      <c r="AA16" s="1210"/>
      <c r="AB16" s="1210"/>
      <c r="AC16" s="1210"/>
      <c r="AD16" s="1210"/>
      <c r="AE16" s="1210"/>
      <c r="AF16" s="1210"/>
      <c r="AG16" s="1210"/>
      <c r="AH16" s="1210"/>
      <c r="AI16" s="1210"/>
      <c r="AJ16" s="1210"/>
      <c r="AK16" s="1210"/>
      <c r="AL16" s="1210"/>
      <c r="AM16" s="1210"/>
      <c r="AN16" s="1210"/>
      <c r="AO16" s="1210"/>
      <c r="AP16" s="1210"/>
      <c r="AQ16" s="1210"/>
      <c r="AR16" s="1210"/>
      <c r="AS16" s="1210"/>
      <c r="AT16" s="1210"/>
      <c r="AU16" s="1210"/>
      <c r="AW16" s="696"/>
      <c r="AX16" s="696" t="str">
        <f t="shared" si="1"/>
        <v>Добавить централизованную систему для дифференциации</v>
      </c>
      <c r="AY16" s="696"/>
      <c r="AZ16" s="696"/>
    </row>
    <row r="17" spans="1:52" s="1772" customFormat="1" ht="14.25" hidden="1" customHeight="1">
      <c r="A17" s="1228"/>
      <c r="B17" s="1228"/>
      <c r="C17" s="1228"/>
      <c r="D17" s="1228"/>
      <c r="E17" s="2235"/>
      <c r="F17" s="1228"/>
      <c r="G17" s="1228"/>
      <c r="H17" s="1228"/>
      <c r="I17" s="1228"/>
      <c r="J17" s="1228"/>
      <c r="K17" s="1228"/>
      <c r="L17" s="1231"/>
      <c r="M17" s="1207"/>
      <c r="N17" s="1207"/>
      <c r="O17" s="446"/>
      <c r="P17" s="311"/>
      <c r="Q17" s="1229"/>
      <c r="R17" s="311"/>
      <c r="S17" s="1208"/>
      <c r="T17" s="1211" t="s">
        <v>1438</v>
      </c>
      <c r="U17" s="1210"/>
      <c r="V17" s="1210"/>
      <c r="W17" s="1210"/>
      <c r="X17" s="1210"/>
      <c r="Y17" s="1210"/>
      <c r="Z17" s="1210"/>
      <c r="AA17" s="1210"/>
      <c r="AB17" s="1210"/>
      <c r="AC17" s="1210"/>
      <c r="AD17" s="1210"/>
      <c r="AE17" s="1210"/>
      <c r="AF17" s="1210"/>
      <c r="AG17" s="1210"/>
      <c r="AH17" s="1210"/>
      <c r="AI17" s="1210"/>
      <c r="AJ17" s="1210"/>
      <c r="AK17" s="1210"/>
      <c r="AL17" s="1210"/>
      <c r="AM17" s="1210"/>
      <c r="AN17" s="1210"/>
      <c r="AO17" s="1210"/>
      <c r="AP17" s="1210"/>
      <c r="AQ17" s="1210"/>
      <c r="AR17" s="1210"/>
      <c r="AS17" s="1210"/>
      <c r="AT17" s="1210"/>
      <c r="AU17" s="1210"/>
      <c r="AW17" s="428"/>
      <c r="AX17" s="428" t="str">
        <f t="shared" si="1"/>
        <v>Добавить территорию для дифференциации</v>
      </c>
      <c r="AY17" s="428"/>
      <c r="AZ17" s="428"/>
    </row>
    <row r="18" spans="1:52" ht="14.25" hidden="1" customHeight="1">
      <c r="AA18" s="254"/>
      <c r="AS18" s="254"/>
    </row>
    <row r="19" spans="1:52" ht="14.25" hidden="1" customHeight="1">
      <c r="AB19" s="1210" t="s">
        <v>56</v>
      </c>
      <c r="AC19" s="1362"/>
      <c r="AD19" s="475">
        <v>1</v>
      </c>
      <c r="AE19" s="1363"/>
      <c r="AF19" s="1210" t="s">
        <v>56</v>
      </c>
      <c r="AG19" s="1362"/>
      <c r="AH19" s="475">
        <v>1</v>
      </c>
      <c r="AI19" s="1363"/>
      <c r="AJ19" s="1210" t="s">
        <v>56</v>
      </c>
      <c r="AK19" s="1364"/>
      <c r="AL19" s="475">
        <v>1</v>
      </c>
      <c r="AM19" s="1367"/>
      <c r="AN19" s="1692"/>
      <c r="AO19" s="1693"/>
      <c r="AP19" s="1595"/>
      <c r="AQ19" s="1325" t="s">
        <v>66</v>
      </c>
      <c r="AR19" s="1595"/>
      <c r="AS19" s="1325" t="s">
        <v>66</v>
      </c>
    </row>
    <row r="20" spans="1:52" ht="14.25" hidden="1" customHeight="1">
      <c r="AV20" s="424"/>
      <c r="AW20" s="424"/>
      <c r="AX20" s="424"/>
      <c r="AY20" s="424"/>
      <c r="AZ20" s="424"/>
    </row>
    <row r="21" spans="1:52" ht="14.25" hidden="1" customHeight="1">
      <c r="O21" s="1248" t="s">
        <v>1478</v>
      </c>
      <c r="X21" s="1230"/>
      <c r="Z21" s="1230"/>
      <c r="AA21" s="254"/>
      <c r="AP21" s="1230"/>
      <c r="AR21" s="1230"/>
      <c r="AS21" s="254"/>
      <c r="AV21" s="424"/>
      <c r="AW21" s="424"/>
      <c r="AX21" s="424"/>
      <c r="AY21" s="424"/>
      <c r="AZ21" s="424"/>
    </row>
    <row r="22" spans="1:52" ht="14.25" hidden="1" customHeight="1">
      <c r="AA22" s="254"/>
      <c r="AS22" s="254"/>
      <c r="AV22" s="424"/>
      <c r="AW22" s="424"/>
      <c r="AX22" s="424"/>
      <c r="AY22" s="424"/>
      <c r="AZ22" s="424"/>
    </row>
    <row r="23" spans="1:52" s="1694" customFormat="1" ht="14.25" hidden="1" customHeight="1">
      <c r="M23" s="1369"/>
      <c r="N23" s="1369"/>
      <c r="O23" s="1370" t="s">
        <v>1479</v>
      </c>
      <c r="P23" s="1369"/>
      <c r="Q23" s="1371"/>
      <c r="R23" s="1371"/>
      <c r="Y23" s="1368" t="s">
        <v>1481</v>
      </c>
      <c r="AA23" s="1368" t="s">
        <v>1482</v>
      </c>
      <c r="AB23" s="1368" t="s">
        <v>1542</v>
      </c>
      <c r="AE23" s="1368" t="s">
        <v>1543</v>
      </c>
      <c r="AF23" s="1368" t="s">
        <v>1542</v>
      </c>
      <c r="AI23" s="1368" t="s">
        <v>1544</v>
      </c>
      <c r="AJ23" s="1368" t="s">
        <v>1542</v>
      </c>
      <c r="AM23" s="1368" t="s">
        <v>1545</v>
      </c>
      <c r="AQ23" s="1368" t="s">
        <v>1481</v>
      </c>
      <c r="AS23" s="1368" t="s">
        <v>1482</v>
      </c>
      <c r="AV23" s="1372"/>
      <c r="AW23" s="1372"/>
      <c r="AX23" s="1372"/>
      <c r="AY23" s="1372"/>
      <c r="AZ23" s="1372"/>
    </row>
    <row r="24" spans="1:52" ht="14.25" hidden="1" customHeight="1">
      <c r="O24" s="1245"/>
      <c r="AV24" s="424"/>
      <c r="AW24" s="424"/>
      <c r="AX24" s="424"/>
      <c r="AY24" s="424"/>
      <c r="AZ24" s="424"/>
    </row>
    <row r="25" spans="1:52" ht="14.25" hidden="1" customHeight="1">
      <c r="O25" s="1245"/>
      <c r="AV25" s="424"/>
      <c r="AW25" s="424"/>
      <c r="AX25" s="424"/>
      <c r="AY25" s="424"/>
      <c r="AZ25" s="424"/>
    </row>
    <row r="26" spans="1:52" ht="14.25" customHeight="1">
      <c r="Q26" s="209"/>
      <c r="R26" s="304"/>
      <c r="S26" s="1158"/>
      <c r="T26" s="289"/>
      <c r="U26" s="289"/>
      <c r="V26" s="437"/>
      <c r="W26" s="437"/>
      <c r="X26" s="437"/>
      <c r="Y26" s="437"/>
      <c r="Z26" s="437"/>
      <c r="AA26" s="437"/>
      <c r="AB26" s="437"/>
      <c r="AC26" s="437"/>
      <c r="AD26" s="437"/>
      <c r="AE26" s="437"/>
      <c r="AF26" s="437"/>
      <c r="AG26" s="437"/>
      <c r="AH26" s="437"/>
      <c r="AI26" s="437"/>
      <c r="AJ26" s="437"/>
      <c r="AK26" s="437"/>
      <c r="AL26" s="437"/>
      <c r="AM26" s="437"/>
      <c r="AN26" s="437"/>
      <c r="AO26" s="437"/>
      <c r="AP26" s="437"/>
      <c r="AQ26" s="437"/>
      <c r="AR26" s="437"/>
      <c r="AS26" s="437"/>
    </row>
    <row r="27" spans="1:52" ht="33.75" customHeight="1">
      <c r="Q27" s="209"/>
      <c r="R27" s="304"/>
      <c r="S27" s="2079" t="str">
        <f>IF(TEMPLATE_GROUP="P",PT_P_FORM_HEAT_7_NAME_FORM,PT_R_FORM_HEAT_24_NAME_FORM)</f>
        <v xml:space="preserve">Форма 24. Информация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23.4 Федерального закона "О теплоснабжении" </v>
      </c>
      <c r="T27" s="2079"/>
      <c r="U27" s="2079"/>
      <c r="V27" s="2079"/>
      <c r="W27" s="2079"/>
      <c r="X27" s="2079"/>
      <c r="Y27" s="2079"/>
      <c r="Z27" s="2079"/>
      <c r="AA27" s="2079"/>
      <c r="AB27" s="2079"/>
      <c r="AC27" s="2079"/>
      <c r="AD27" s="2079"/>
      <c r="AE27" s="2079"/>
      <c r="AF27" s="2079"/>
      <c r="AG27" s="2079"/>
      <c r="AH27" s="2079"/>
      <c r="AI27" s="2079"/>
      <c r="AJ27" s="2079"/>
      <c r="AK27" s="2079"/>
      <c r="AL27" s="2079"/>
      <c r="AM27" s="2079"/>
      <c r="AN27" s="2079"/>
      <c r="AO27" s="2079"/>
      <c r="AP27" s="2079"/>
      <c r="AQ27" s="2079"/>
      <c r="AR27" s="2079"/>
      <c r="AS27" s="1116"/>
    </row>
    <row r="28" spans="1:52" ht="14.25" customHeight="1">
      <c r="Q28" s="209"/>
      <c r="R28" s="304"/>
      <c r="S28" s="2102" t="str">
        <f>IF(org=0,"Не определено",org)</f>
        <v>ООО "Автозаводская ТЭЦ"</v>
      </c>
      <c r="T28" s="2102"/>
      <c r="U28" s="2102"/>
      <c r="V28" s="2102"/>
      <c r="W28" s="2102"/>
      <c r="X28" s="2102"/>
      <c r="Y28" s="2102"/>
      <c r="Z28" s="2102"/>
      <c r="AA28" s="2102"/>
      <c r="AB28" s="2102"/>
      <c r="AC28" s="2102"/>
      <c r="AD28" s="2102"/>
      <c r="AE28" s="2102"/>
      <c r="AF28" s="2102"/>
      <c r="AG28" s="2102"/>
      <c r="AH28" s="2102"/>
      <c r="AI28" s="2102"/>
      <c r="AJ28" s="2102"/>
      <c r="AK28" s="2102"/>
      <c r="AL28" s="2102"/>
      <c r="AM28" s="2102"/>
      <c r="AN28" s="2102"/>
      <c r="AO28" s="2102"/>
      <c r="AP28" s="2102"/>
      <c r="AQ28" s="2102"/>
      <c r="AR28" s="2102"/>
      <c r="AS28" s="1116"/>
    </row>
    <row r="29" spans="1:52" ht="14.25" hidden="1" customHeight="1">
      <c r="Q29" s="209"/>
      <c r="R29" s="304"/>
      <c r="S29" s="1158"/>
      <c r="T29" s="289"/>
      <c r="U29" s="289"/>
      <c r="V29" s="248"/>
      <c r="W29" s="248"/>
      <c r="X29" s="248"/>
      <c r="Y29" s="248"/>
      <c r="Z29" s="248"/>
      <c r="AA29" s="248"/>
      <c r="AB29" s="248"/>
      <c r="AC29" s="248"/>
      <c r="AD29" s="248"/>
      <c r="AE29" s="248"/>
      <c r="AF29" s="248"/>
      <c r="AG29" s="248"/>
      <c r="AH29" s="248"/>
      <c r="AI29" s="248"/>
      <c r="AJ29" s="248"/>
      <c r="AK29" s="248"/>
      <c r="AL29" s="248"/>
      <c r="AM29" s="248"/>
      <c r="AN29" s="248"/>
      <c r="AO29" s="248"/>
      <c r="AP29" s="248"/>
      <c r="AQ29" s="248"/>
      <c r="AR29" s="248"/>
      <c r="AS29" s="248"/>
      <c r="AT29" s="437"/>
    </row>
    <row r="30" spans="1:52" s="1950" customFormat="1" ht="25.5" hidden="1" customHeight="1">
      <c r="A30" s="1249"/>
      <c r="B30" s="1249"/>
      <c r="C30" s="1249"/>
      <c r="D30" s="1249"/>
      <c r="E30" s="1249"/>
      <c r="F30" s="1249"/>
      <c r="G30" s="1249"/>
      <c r="H30" s="1249"/>
      <c r="I30" s="1249"/>
      <c r="J30" s="1249"/>
      <c r="K30" s="1249"/>
      <c r="L30" s="1250"/>
      <c r="M30" s="1249"/>
      <c r="N30" s="1249"/>
      <c r="O30" s="1249"/>
      <c r="P30" s="1249"/>
      <c r="Q30" s="1249"/>
      <c r="S30" s="2227" t="s">
        <v>38</v>
      </c>
      <c r="T30" s="2227"/>
      <c r="U30" s="1253"/>
      <c r="V30" s="2228"/>
      <c r="W30" s="2228"/>
      <c r="X30" s="2228"/>
      <c r="Y30" s="2228"/>
      <c r="Z30" s="2228"/>
      <c r="AA30" s="253"/>
      <c r="AB30" s="2228" t="str">
        <f>IF(TITLE_NAME_OR_PR_CHANGE="",IF(TITLE_NAME_OR_PR="","",TITLE_NAME_OR_PR),TITLE_NAME_OR_PR_CHANGE)</f>
        <v/>
      </c>
      <c r="AC30" s="2228"/>
      <c r="AD30" s="2228"/>
      <c r="AE30" s="2228"/>
      <c r="AF30" s="2228"/>
      <c r="AG30" s="2228"/>
      <c r="AH30" s="2228"/>
      <c r="AI30" s="2228"/>
      <c r="AJ30" s="2228"/>
      <c r="AK30" s="2228"/>
      <c r="AL30" s="2228"/>
      <c r="AM30" s="2228"/>
      <c r="AN30" s="2228"/>
      <c r="AO30" s="2228"/>
      <c r="AP30" s="2228"/>
      <c r="AQ30" s="2228"/>
      <c r="AR30" s="2228"/>
      <c r="AS30" s="253"/>
      <c r="AT30" s="253"/>
      <c r="AU30" s="199"/>
      <c r="AV30" s="295"/>
      <c r="AW30" s="295"/>
      <c r="AX30" s="295"/>
      <c r="AY30" s="295"/>
      <c r="AZ30" s="295"/>
    </row>
    <row r="31" spans="1:52" s="1950" customFormat="1" ht="18.75" hidden="1" customHeight="1">
      <c r="A31" s="1249"/>
      <c r="B31" s="1249"/>
      <c r="C31" s="1249"/>
      <c r="D31" s="1249"/>
      <c r="E31" s="1249"/>
      <c r="F31" s="1249"/>
      <c r="G31" s="1249"/>
      <c r="H31" s="1249"/>
      <c r="I31" s="1249"/>
      <c r="J31" s="1249"/>
      <c r="K31" s="1249"/>
      <c r="L31" s="1250"/>
      <c r="M31" s="1249"/>
      <c r="N31" s="1249"/>
      <c r="O31" s="1249"/>
      <c r="P31" s="1249"/>
      <c r="Q31" s="1249"/>
      <c r="S31" s="2227" t="s">
        <v>1484</v>
      </c>
      <c r="T31" s="2227"/>
      <c r="U31" s="1253"/>
      <c r="V31" s="2228"/>
      <c r="W31" s="2228"/>
      <c r="X31" s="2228"/>
      <c r="Y31" s="2228"/>
      <c r="Z31" s="2228"/>
      <c r="AA31" s="253"/>
      <c r="AB31" s="2228" t="str">
        <f>IF(TITLE_DATE_CHANGE_PERIOD="",IF(TITLE_DATE_PR="","",TITLE_DATE_PR),TITLE_DATE_CHANGE_PERIOD)</f>
        <v/>
      </c>
      <c r="AC31" s="2228"/>
      <c r="AD31" s="2228"/>
      <c r="AE31" s="2228"/>
      <c r="AF31" s="2228"/>
      <c r="AG31" s="2228"/>
      <c r="AH31" s="2228"/>
      <c r="AI31" s="2228"/>
      <c r="AJ31" s="2228"/>
      <c r="AK31" s="2228"/>
      <c r="AL31" s="2228"/>
      <c r="AM31" s="2228"/>
      <c r="AN31" s="2228"/>
      <c r="AO31" s="2228"/>
      <c r="AP31" s="2228"/>
      <c r="AQ31" s="2228"/>
      <c r="AR31" s="2228"/>
      <c r="AS31" s="253"/>
      <c r="AT31" s="253"/>
      <c r="AU31" s="199"/>
      <c r="AV31" s="295"/>
      <c r="AW31" s="295"/>
      <c r="AX31" s="295"/>
      <c r="AY31" s="295"/>
      <c r="AZ31" s="295"/>
    </row>
    <row r="32" spans="1:52" s="1950" customFormat="1" ht="18.75" hidden="1" customHeight="1">
      <c r="A32" s="1249"/>
      <c r="B32" s="1249"/>
      <c r="C32" s="1249"/>
      <c r="D32" s="1249"/>
      <c r="E32" s="1249"/>
      <c r="F32" s="1249"/>
      <c r="G32" s="1249"/>
      <c r="H32" s="1249"/>
      <c r="I32" s="1249"/>
      <c r="J32" s="1249"/>
      <c r="K32" s="1249"/>
      <c r="L32" s="1250"/>
      <c r="M32" s="1249"/>
      <c r="N32" s="1249"/>
      <c r="O32" s="1249"/>
      <c r="P32" s="1249"/>
      <c r="Q32" s="1249"/>
      <c r="S32" s="2227" t="s">
        <v>1485</v>
      </c>
      <c r="T32" s="2227"/>
      <c r="U32" s="1253"/>
      <c r="V32" s="2228"/>
      <c r="W32" s="2228"/>
      <c r="X32" s="2228"/>
      <c r="Y32" s="2228"/>
      <c r="Z32" s="2228"/>
      <c r="AA32" s="253"/>
      <c r="AB32" s="2228" t="str">
        <f>IF(TITLE_NUMBER_PR_CHANGE="",IF(TITLE_NUMBER_PR="","",TITLE_NUMBER_PR),TITLE_NUMBER_PR_CHANGE)</f>
        <v/>
      </c>
      <c r="AC32" s="2228"/>
      <c r="AD32" s="2228"/>
      <c r="AE32" s="2228"/>
      <c r="AF32" s="2228"/>
      <c r="AG32" s="2228"/>
      <c r="AH32" s="2228"/>
      <c r="AI32" s="2228"/>
      <c r="AJ32" s="2228"/>
      <c r="AK32" s="2228"/>
      <c r="AL32" s="2228"/>
      <c r="AM32" s="2228"/>
      <c r="AN32" s="2228"/>
      <c r="AO32" s="2228"/>
      <c r="AP32" s="2228"/>
      <c r="AQ32" s="2228"/>
      <c r="AR32" s="2228"/>
      <c r="AS32" s="253"/>
      <c r="AT32" s="253"/>
      <c r="AU32" s="199"/>
      <c r="AV32" s="295"/>
      <c r="AW32" s="295"/>
      <c r="AX32" s="295"/>
      <c r="AY32" s="295"/>
      <c r="AZ32" s="295"/>
    </row>
    <row r="33" spans="1:52" s="1950" customFormat="1" ht="18.75" hidden="1" customHeight="1">
      <c r="A33" s="1249"/>
      <c r="B33" s="1249"/>
      <c r="C33" s="1249"/>
      <c r="D33" s="1249"/>
      <c r="E33" s="1249"/>
      <c r="F33" s="1249"/>
      <c r="G33" s="1249"/>
      <c r="H33" s="1249"/>
      <c r="I33" s="1249"/>
      <c r="J33" s="1249"/>
      <c r="K33" s="1249"/>
      <c r="L33" s="1250"/>
      <c r="M33" s="1249"/>
      <c r="N33" s="1249"/>
      <c r="O33" s="1249"/>
      <c r="P33" s="1249"/>
      <c r="Q33" s="1249"/>
      <c r="S33" s="2227" t="s">
        <v>39</v>
      </c>
      <c r="T33" s="2227"/>
      <c r="U33" s="1253"/>
      <c r="V33" s="2228"/>
      <c r="W33" s="2228"/>
      <c r="X33" s="2228"/>
      <c r="Y33" s="2228"/>
      <c r="Z33" s="2228"/>
      <c r="AA33" s="253"/>
      <c r="AB33" s="2228" t="str">
        <f>IF(TITLE_IST_PUB_CHANGE="",IF(TITLE_IST_PUB="","",TITLE_IST_PUB),TITLE_IST_PUB_CHANGE)</f>
        <v/>
      </c>
      <c r="AC33" s="2228"/>
      <c r="AD33" s="2228"/>
      <c r="AE33" s="2228"/>
      <c r="AF33" s="2228"/>
      <c r="AG33" s="2228"/>
      <c r="AH33" s="2228"/>
      <c r="AI33" s="2228"/>
      <c r="AJ33" s="2228"/>
      <c r="AK33" s="2228"/>
      <c r="AL33" s="2228"/>
      <c r="AM33" s="2228"/>
      <c r="AN33" s="2228"/>
      <c r="AO33" s="2228"/>
      <c r="AP33" s="2228"/>
      <c r="AQ33" s="2228"/>
      <c r="AR33" s="2228"/>
      <c r="AS33" s="253"/>
      <c r="AT33" s="253"/>
      <c r="AU33" s="199"/>
      <c r="AV33" s="295"/>
      <c r="AW33" s="295"/>
      <c r="AX33" s="295"/>
      <c r="AY33" s="295"/>
      <c r="AZ33" s="295"/>
    </row>
    <row r="34" spans="1:52" ht="14.25" hidden="1" customHeight="1">
      <c r="Q34" s="209"/>
      <c r="R34" s="304"/>
      <c r="S34" s="1158"/>
      <c r="T34" s="289"/>
      <c r="U34" s="289"/>
      <c r="V34" s="248"/>
      <c r="W34" s="248"/>
      <c r="X34" s="248"/>
      <c r="Y34" s="248"/>
      <c r="Z34" s="248"/>
      <c r="AA34" s="248"/>
      <c r="AB34" s="248"/>
      <c r="AC34" s="248"/>
      <c r="AD34" s="248"/>
      <c r="AE34" s="248"/>
      <c r="AF34" s="248"/>
      <c r="AG34" s="248"/>
      <c r="AH34" s="248"/>
      <c r="AI34" s="248"/>
      <c r="AJ34" s="248"/>
      <c r="AK34" s="248"/>
      <c r="AL34" s="248"/>
      <c r="AM34" s="248"/>
      <c r="AN34" s="248"/>
      <c r="AO34" s="248"/>
      <c r="AP34" s="248"/>
      <c r="AQ34" s="248"/>
      <c r="AR34" s="248"/>
      <c r="AS34" s="248"/>
      <c r="AT34" s="437"/>
    </row>
    <row r="35" spans="1:52" s="1950" customFormat="1" ht="18.75" hidden="1" customHeight="1">
      <c r="A35" s="1249"/>
      <c r="B35" s="1249"/>
      <c r="C35" s="1249"/>
      <c r="D35" s="1249"/>
      <c r="E35" s="1249"/>
      <c r="F35" s="1249"/>
      <c r="G35" s="1249"/>
      <c r="H35" s="1249"/>
      <c r="I35" s="1249"/>
      <c r="J35" s="1249"/>
      <c r="K35" s="1249"/>
      <c r="L35" s="1250"/>
      <c r="M35" s="1249"/>
      <c r="N35" s="1249"/>
      <c r="O35" s="1249"/>
      <c r="P35" s="1249"/>
      <c r="Q35" s="1249"/>
      <c r="S35" s="2227" t="s">
        <v>1484</v>
      </c>
      <c r="T35" s="2227"/>
      <c r="U35" s="1253"/>
      <c r="V35" s="2228"/>
      <c r="W35" s="2228"/>
      <c r="X35" s="2228"/>
      <c r="Y35" s="2228"/>
      <c r="Z35" s="2228"/>
      <c r="AA35" s="253"/>
      <c r="AB35" s="2228" t="str">
        <f>IF(TITLE_DATE_CHANGE_PERIOD="",IF(TITLE_DATE_PR="","",TITLE_DATE_PR),TITLE_DATE_CHANGE_PERIOD)</f>
        <v/>
      </c>
      <c r="AC35" s="2228"/>
      <c r="AD35" s="2228"/>
      <c r="AE35" s="2228"/>
      <c r="AF35" s="2228"/>
      <c r="AG35" s="2228"/>
      <c r="AH35" s="2228"/>
      <c r="AI35" s="2228"/>
      <c r="AJ35" s="2228"/>
      <c r="AK35" s="2228"/>
      <c r="AL35" s="2228"/>
      <c r="AM35" s="2228"/>
      <c r="AN35" s="2228"/>
      <c r="AO35" s="2228"/>
      <c r="AP35" s="2228"/>
      <c r="AQ35" s="2228"/>
      <c r="AR35" s="2228"/>
      <c r="AS35" s="253"/>
      <c r="AT35" s="253"/>
      <c r="AU35" s="199"/>
      <c r="AV35" s="295"/>
      <c r="AW35" s="295"/>
      <c r="AX35" s="295"/>
      <c r="AY35" s="295"/>
      <c r="AZ35" s="295"/>
    </row>
    <row r="36" spans="1:52" s="1950" customFormat="1" ht="18" hidden="1" customHeight="1">
      <c r="A36" s="1249"/>
      <c r="B36" s="1249"/>
      <c r="C36" s="1249"/>
      <c r="D36" s="1249"/>
      <c r="E36" s="1249"/>
      <c r="F36" s="1249"/>
      <c r="G36" s="1249"/>
      <c r="H36" s="1249"/>
      <c r="I36" s="1249"/>
      <c r="J36" s="1249"/>
      <c r="K36" s="1249"/>
      <c r="L36" s="1250"/>
      <c r="M36" s="1249"/>
      <c r="N36" s="1249"/>
      <c r="O36" s="1249"/>
      <c r="P36" s="1249"/>
      <c r="Q36" s="1249"/>
      <c r="S36" s="2227" t="s">
        <v>1485</v>
      </c>
      <c r="T36" s="2227"/>
      <c r="U36" s="1253"/>
      <c r="V36" s="2228"/>
      <c r="W36" s="2228"/>
      <c r="X36" s="2228"/>
      <c r="Y36" s="2228"/>
      <c r="Z36" s="2228"/>
      <c r="AA36" s="253"/>
      <c r="AB36" s="2228" t="str">
        <f>IF(TITLE_NUMBER_PR_CHANGE="",IF(TITLE_NUMBER_PR="","",TITLE_NUMBER_PR),TITLE_NUMBER_PR_CHANGE)</f>
        <v/>
      </c>
      <c r="AC36" s="2228"/>
      <c r="AD36" s="2228"/>
      <c r="AE36" s="2228"/>
      <c r="AF36" s="2228"/>
      <c r="AG36" s="2228"/>
      <c r="AH36" s="2228"/>
      <c r="AI36" s="2228"/>
      <c r="AJ36" s="2228"/>
      <c r="AK36" s="2228"/>
      <c r="AL36" s="2228"/>
      <c r="AM36" s="2228"/>
      <c r="AN36" s="2228"/>
      <c r="AO36" s="2228"/>
      <c r="AP36" s="2228"/>
      <c r="AQ36" s="2228"/>
      <c r="AR36" s="2228"/>
      <c r="AS36" s="253"/>
      <c r="AT36" s="253"/>
      <c r="AU36" s="199"/>
      <c r="AV36" s="295"/>
      <c r="AW36" s="295"/>
      <c r="AX36" s="295"/>
      <c r="AY36" s="295"/>
      <c r="AZ36" s="295"/>
    </row>
    <row r="37" spans="1:52" s="1950" customFormat="1" ht="0.75" customHeight="1">
      <c r="A37" s="1249"/>
      <c r="B37" s="1249"/>
      <c r="C37" s="1249"/>
      <c r="D37" s="1249"/>
      <c r="E37" s="1249"/>
      <c r="F37" s="1249"/>
      <c r="G37" s="1249"/>
      <c r="H37" s="1249"/>
      <c r="I37" s="1249"/>
      <c r="J37" s="1249"/>
      <c r="K37" s="1249"/>
      <c r="L37" s="1250"/>
      <c r="M37" s="1249"/>
      <c r="N37" s="1249"/>
      <c r="O37" s="1249"/>
      <c r="P37" s="1249"/>
      <c r="Q37" s="1249"/>
      <c r="S37" s="250"/>
      <c r="T37" s="250"/>
      <c r="U37" s="1225"/>
      <c r="V37" s="253"/>
      <c r="W37" s="253"/>
      <c r="X37" s="253"/>
      <c r="Y37" s="253"/>
      <c r="Z37" s="253"/>
      <c r="AA37" s="197" t="s">
        <v>1488</v>
      </c>
      <c r="AB37" s="253"/>
      <c r="AC37" s="253"/>
      <c r="AD37" s="253"/>
      <c r="AE37" s="253"/>
      <c r="AF37" s="253"/>
      <c r="AG37" s="253"/>
      <c r="AH37" s="253"/>
      <c r="AI37" s="253"/>
      <c r="AJ37" s="253"/>
      <c r="AK37" s="253"/>
      <c r="AL37" s="253"/>
      <c r="AM37" s="253"/>
      <c r="AN37" s="253"/>
      <c r="AO37" s="253"/>
      <c r="AP37" s="253"/>
      <c r="AQ37" s="253"/>
      <c r="AR37" s="253"/>
      <c r="AS37" s="197" t="s">
        <v>1488</v>
      </c>
      <c r="AV37" s="295"/>
      <c r="AW37" s="295"/>
      <c r="AX37" s="295"/>
      <c r="AY37" s="295"/>
      <c r="AZ37" s="295"/>
    </row>
    <row r="38" spans="1:52" ht="14.25" customHeight="1">
      <c r="Q38" s="209"/>
      <c r="R38" s="304"/>
      <c r="S38" s="1158"/>
      <c r="T38" s="289"/>
      <c r="U38" s="1117"/>
      <c r="V38" s="2246"/>
      <c r="W38" s="2246"/>
      <c r="X38" s="2246"/>
      <c r="Y38" s="2246"/>
      <c r="Z38" s="2246"/>
      <c r="AA38" s="2246"/>
      <c r="AB38" s="2246"/>
      <c r="AC38" s="2246"/>
      <c r="AD38" s="2246"/>
      <c r="AE38" s="2246"/>
      <c r="AF38" s="2246"/>
      <c r="AG38" s="2246"/>
      <c r="AH38" s="2246"/>
      <c r="AI38" s="2246"/>
      <c r="AJ38" s="2246"/>
      <c r="AK38" s="2246"/>
      <c r="AL38" s="2246"/>
      <c r="AM38" s="2246"/>
      <c r="AN38" s="2246"/>
      <c r="AO38" s="2246"/>
      <c r="AP38" s="2246"/>
      <c r="AQ38" s="2246"/>
      <c r="AR38" s="2246"/>
      <c r="AS38" s="2246"/>
    </row>
    <row r="39" spans="1:52" ht="14.25" customHeight="1">
      <c r="Q39" s="209"/>
      <c r="R39" s="304"/>
      <c r="S39" s="2021" t="s">
        <v>292</v>
      </c>
      <c r="T39" s="2021"/>
      <c r="U39" s="2021"/>
      <c r="V39" s="2021"/>
      <c r="W39" s="2021"/>
      <c r="X39" s="2021"/>
      <c r="Y39" s="2021"/>
      <c r="Z39" s="2021"/>
      <c r="AA39" s="2021"/>
      <c r="AB39" s="2021"/>
      <c r="AC39" s="2021"/>
      <c r="AD39" s="2021"/>
      <c r="AE39" s="2021"/>
      <c r="AF39" s="2021"/>
      <c r="AG39" s="2021"/>
      <c r="AH39" s="2021"/>
      <c r="AI39" s="2021"/>
      <c r="AJ39" s="2021"/>
      <c r="AK39" s="2021"/>
      <c r="AL39" s="2021"/>
      <c r="AM39" s="2021"/>
      <c r="AN39" s="2021"/>
      <c r="AO39" s="2021"/>
      <c r="AP39" s="2021"/>
      <c r="AQ39" s="2021"/>
      <c r="AR39" s="2021"/>
      <c r="AS39" s="2021"/>
      <c r="AT39" s="2021"/>
      <c r="AU39" s="2021" t="s">
        <v>293</v>
      </c>
    </row>
    <row r="40" spans="1:52" ht="14.25" customHeight="1">
      <c r="Q40" s="209"/>
      <c r="R40" s="304"/>
      <c r="S40" s="2247" t="s">
        <v>88</v>
      </c>
      <c r="T40" s="2111" t="s">
        <v>1489</v>
      </c>
      <c r="U40" s="219"/>
      <c r="V40" s="2249"/>
      <c r="W40" s="2249"/>
      <c r="X40" s="2249"/>
      <c r="Y40" s="2249"/>
      <c r="Z40" s="2250"/>
      <c r="AA40" s="2251" t="s">
        <v>1491</v>
      </c>
      <c r="AB40" s="2273" t="s">
        <v>1546</v>
      </c>
      <c r="AC40" s="2262"/>
      <c r="AD40" s="2262"/>
      <c r="AE40" s="2274"/>
      <c r="AF40" s="2273" t="s">
        <v>1547</v>
      </c>
      <c r="AG40" s="2262"/>
      <c r="AH40" s="2262"/>
      <c r="AI40" s="2274"/>
      <c r="AJ40" s="2273" t="s">
        <v>1548</v>
      </c>
      <c r="AK40" s="2262"/>
      <c r="AL40" s="2262"/>
      <c r="AM40" s="2274"/>
      <c r="AN40" s="2248" t="s">
        <v>1490</v>
      </c>
      <c r="AO40" s="2249"/>
      <c r="AP40" s="2249"/>
      <c r="AQ40" s="2249"/>
      <c r="AR40" s="2250"/>
      <c r="AS40" s="2251" t="s">
        <v>1491</v>
      </c>
      <c r="AT40" s="2254" t="s">
        <v>1493</v>
      </c>
      <c r="AU40" s="2021"/>
    </row>
    <row r="41" spans="1:52" ht="33.75" customHeight="1">
      <c r="Q41" s="209"/>
      <c r="R41" s="304"/>
      <c r="S41" s="2247"/>
      <c r="T41" s="2111"/>
      <c r="U41" s="924"/>
      <c r="V41" s="2081" t="s">
        <v>1549</v>
      </c>
      <c r="W41" s="2082"/>
      <c r="X41" s="2081" t="s">
        <v>1497</v>
      </c>
      <c r="Y41" s="2267"/>
      <c r="Z41" s="2082"/>
      <c r="AA41" s="2252"/>
      <c r="AB41" s="2275"/>
      <c r="AC41" s="2276"/>
      <c r="AD41" s="2276"/>
      <c r="AE41" s="2277"/>
      <c r="AF41" s="2275"/>
      <c r="AG41" s="2276"/>
      <c r="AH41" s="2276"/>
      <c r="AI41" s="2277"/>
      <c r="AJ41" s="2275"/>
      <c r="AK41" s="2276"/>
      <c r="AL41" s="2276"/>
      <c r="AM41" s="2277"/>
      <c r="AN41" s="2081" t="s">
        <v>1549</v>
      </c>
      <c r="AO41" s="2082"/>
      <c r="AP41" s="2081" t="s">
        <v>1497</v>
      </c>
      <c r="AQ41" s="2267"/>
      <c r="AR41" s="2082"/>
      <c r="AS41" s="2252"/>
      <c r="AT41" s="2255"/>
      <c r="AU41" s="2021"/>
    </row>
    <row r="42" spans="1:52" ht="14.25" customHeight="1">
      <c r="Q42" s="209"/>
      <c r="R42" s="304"/>
      <c r="S42" s="2247"/>
      <c r="T42" s="2111"/>
      <c r="U42" s="924"/>
      <c r="V42" s="2086"/>
      <c r="W42" s="2087"/>
      <c r="X42" s="2086"/>
      <c r="Y42" s="2268"/>
      <c r="Z42" s="2087"/>
      <c r="AA42" s="2252"/>
      <c r="AB42" s="2275"/>
      <c r="AC42" s="2276"/>
      <c r="AD42" s="2276"/>
      <c r="AE42" s="2277"/>
      <c r="AF42" s="2275"/>
      <c r="AG42" s="2276"/>
      <c r="AH42" s="2276"/>
      <c r="AI42" s="2277"/>
      <c r="AJ42" s="2275"/>
      <c r="AK42" s="2276"/>
      <c r="AL42" s="2276"/>
      <c r="AM42" s="2277"/>
      <c r="AN42" s="2086"/>
      <c r="AO42" s="2087"/>
      <c r="AP42" s="2086"/>
      <c r="AQ42" s="2268"/>
      <c r="AR42" s="2087"/>
      <c r="AS42" s="2252"/>
      <c r="AT42" s="2255"/>
      <c r="AU42" s="2021"/>
    </row>
    <row r="43" spans="1:52" ht="14.25" customHeight="1">
      <c r="A43" s="1251"/>
      <c r="B43" s="1251" t="s">
        <v>136</v>
      </c>
      <c r="C43" s="1251" t="s">
        <v>137</v>
      </c>
      <c r="D43" s="1251" t="s">
        <v>138</v>
      </c>
      <c r="E43" s="1245" t="s">
        <v>1498</v>
      </c>
      <c r="F43" s="1245" t="s">
        <v>1499</v>
      </c>
      <c r="G43" s="1245" t="s">
        <v>1500</v>
      </c>
      <c r="H43" s="1245" t="s">
        <v>1501</v>
      </c>
      <c r="I43" s="1245" t="s">
        <v>1502</v>
      </c>
      <c r="J43" s="1245" t="s">
        <v>1503</v>
      </c>
      <c r="K43" s="1245" t="s">
        <v>1504</v>
      </c>
      <c r="L43" s="1245" t="s">
        <v>1479</v>
      </c>
      <c r="Q43" s="209"/>
      <c r="R43" s="304"/>
      <c r="S43" s="2247"/>
      <c r="T43" s="2111"/>
      <c r="U43" s="220"/>
      <c r="V43" s="1215" t="s">
        <v>1550</v>
      </c>
      <c r="W43" s="1215" t="s">
        <v>1551</v>
      </c>
      <c r="X43" s="1223" t="s">
        <v>1507</v>
      </c>
      <c r="Y43" s="2117" t="s">
        <v>1508</v>
      </c>
      <c r="Z43" s="2131"/>
      <c r="AA43" s="2253"/>
      <c r="AB43" s="2278"/>
      <c r="AC43" s="2279"/>
      <c r="AD43" s="2279"/>
      <c r="AE43" s="2280"/>
      <c r="AF43" s="2278"/>
      <c r="AG43" s="2279"/>
      <c r="AH43" s="2279"/>
      <c r="AI43" s="2280"/>
      <c r="AJ43" s="2278"/>
      <c r="AK43" s="2279"/>
      <c r="AL43" s="2279"/>
      <c r="AM43" s="2280"/>
      <c r="AN43" s="1215" t="s">
        <v>1550</v>
      </c>
      <c r="AO43" s="1215" t="s">
        <v>1551</v>
      </c>
      <c r="AP43" s="1223" t="s">
        <v>1507</v>
      </c>
      <c r="AQ43" s="2117" t="s">
        <v>1508</v>
      </c>
      <c r="AR43" s="2131"/>
      <c r="AS43" s="2253"/>
      <c r="AT43" s="2256"/>
      <c r="AU43" s="2021"/>
    </row>
    <row r="44" spans="1:52" s="1720" customFormat="1" ht="11.25" hidden="1" customHeight="1">
      <c r="A44" s="1251"/>
      <c r="B44" s="1251"/>
      <c r="C44" s="1251"/>
      <c r="D44" s="1251"/>
      <c r="E44" s="1251"/>
      <c r="F44" s="1251"/>
      <c r="G44" s="1251"/>
      <c r="H44" s="1251"/>
      <c r="I44" s="1251"/>
      <c r="J44" s="1251"/>
      <c r="K44" s="1251"/>
      <c r="L44" s="1245"/>
      <c r="M44" s="1243"/>
      <c r="N44" s="1243"/>
      <c r="O44" s="1243"/>
      <c r="P44" s="438"/>
      <c r="Q44" s="1135"/>
      <c r="R44" s="1135">
        <v>1</v>
      </c>
      <c r="S44" s="1160" t="s">
        <v>109</v>
      </c>
      <c r="T44" s="1136" t="s">
        <v>110</v>
      </c>
      <c r="U44" s="1118" t="str">
        <f ca="1">OFFSET(U44,0,-1)</f>
        <v>2</v>
      </c>
      <c r="V44" s="1220">
        <f ca="1">OFFSET(V44,0,-1)+1</f>
        <v>3</v>
      </c>
      <c r="W44" s="1220">
        <f ca="1">OFFSET(W44,0,-1)+1</f>
        <v>4</v>
      </c>
      <c r="X44" s="1220">
        <f ca="1">OFFSET(X44,0,-1)+1</f>
        <v>5</v>
      </c>
      <c r="Y44" s="2245">
        <f ca="1">OFFSET(Y44,0,-1)+1</f>
        <v>6</v>
      </c>
      <c r="Z44" s="2245"/>
      <c r="AA44" s="1220">
        <f ca="1">OFFSET(AA44,0,-2)+1</f>
        <v>7</v>
      </c>
      <c r="AB44" s="1220">
        <f ca="1">OFFSET(AB44,0,-1)+1</f>
        <v>8</v>
      </c>
      <c r="AC44" s="1220"/>
      <c r="AD44" s="1220"/>
      <c r="AE44" s="1220"/>
      <c r="AF44" s="1220"/>
      <c r="AG44" s="1220"/>
      <c r="AH44" s="1220"/>
      <c r="AI44" s="1220"/>
      <c r="AJ44" s="1220"/>
      <c r="AK44" s="1220"/>
      <c r="AL44" s="1220"/>
      <c r="AM44" s="1220"/>
      <c r="AN44" s="1220">
        <f ca="1">OFFSET(AN44,0,-1)+1</f>
        <v>1</v>
      </c>
      <c r="AO44" s="1220">
        <f ca="1">OFFSET(AO44,0,-1)+1</f>
        <v>2</v>
      </c>
      <c r="AP44" s="1220">
        <f ca="1">OFFSET(AP44,0,-1)+1</f>
        <v>3</v>
      </c>
      <c r="AQ44" s="2245">
        <f ca="1">OFFSET(AQ44,0,-1)+1</f>
        <v>4</v>
      </c>
      <c r="AR44" s="2245"/>
      <c r="AS44" s="1220">
        <f ca="1">OFFSET(AS44,0,-2)+1</f>
        <v>5</v>
      </c>
      <c r="AT44" s="1118">
        <f ca="1">OFFSET(AT44,0,-1)</f>
        <v>5</v>
      </c>
      <c r="AU44" s="1220">
        <f ca="1">OFFSET(AU44,0,-1)+1</f>
        <v>6</v>
      </c>
      <c r="AV44" s="439"/>
      <c r="AW44" s="439"/>
      <c r="AX44" s="439"/>
      <c r="AY44" s="439"/>
      <c r="AZ44" s="439"/>
    </row>
    <row r="45" spans="1:52" ht="21" customHeight="1">
      <c r="A45" s="1244" t="s">
        <v>204</v>
      </c>
      <c r="B45" s="1244"/>
      <c r="C45" s="1244"/>
      <c r="D45" s="1244"/>
      <c r="E45" s="2235">
        <v>1</v>
      </c>
      <c r="F45" s="1244"/>
      <c r="G45" s="1244"/>
      <c r="H45" s="1244"/>
      <c r="I45" s="1244"/>
      <c r="J45" s="1244"/>
      <c r="K45" s="1244"/>
      <c r="L45" s="1245"/>
      <c r="M45" s="1246"/>
      <c r="N45" s="1246"/>
      <c r="O45" s="1246"/>
      <c r="P45" s="1279"/>
      <c r="Q45" s="771"/>
      <c r="R45" s="279"/>
      <c r="S45" s="1221">
        <f>INDEX(PT_DIFFERENTIATION_NUM_NTAR,MATCH(A45,PT_DIFFERENTIATION_NTAR_ID,0))</f>
        <v>0</v>
      </c>
      <c r="T45" s="216" t="s">
        <v>124</v>
      </c>
      <c r="U45" s="218"/>
      <c r="V45" s="2230"/>
      <c r="W45" s="2230"/>
      <c r="X45" s="2230"/>
      <c r="Y45" s="2230"/>
      <c r="Z45" s="2230"/>
      <c r="AA45" s="2231"/>
      <c r="AB45" s="2229" t="str">
        <f>INDEX(PT_DIFFERENTIATION_NTAR,MATCH(A45,PT_DIFFERENTIATION_NTAR_ID,0))</f>
        <v/>
      </c>
      <c r="AC45" s="2230"/>
      <c r="AD45" s="2230"/>
      <c r="AE45" s="2230"/>
      <c r="AF45" s="2230"/>
      <c r="AG45" s="2230"/>
      <c r="AH45" s="2230"/>
      <c r="AI45" s="2230"/>
      <c r="AJ45" s="2230"/>
      <c r="AK45" s="2230"/>
      <c r="AL45" s="2230"/>
      <c r="AM45" s="2230"/>
      <c r="AN45" s="2230"/>
      <c r="AO45" s="2230"/>
      <c r="AP45" s="2230"/>
      <c r="AQ45" s="2230"/>
      <c r="AR45" s="2230"/>
      <c r="AS45" s="2230"/>
      <c r="AT45" s="2231"/>
      <c r="AU45" s="1140" t="s">
        <v>1460</v>
      </c>
      <c r="AW45" s="428"/>
      <c r="AX45" s="428" t="str">
        <f t="shared" ref="AX45:AX51" si="2">IF(T45="","",T45)</f>
        <v>Наименование тарифа</v>
      </c>
      <c r="AY45" s="428"/>
      <c r="AZ45" s="428"/>
    </row>
    <row r="46" spans="1:52" ht="21" customHeight="1">
      <c r="A46" s="1244" t="s">
        <v>204</v>
      </c>
      <c r="B46" s="1244" t="s">
        <v>205</v>
      </c>
      <c r="C46" s="1244"/>
      <c r="D46" s="1244"/>
      <c r="E46" s="2236"/>
      <c r="F46" s="2235">
        <v>1</v>
      </c>
      <c r="G46" s="1244"/>
      <c r="H46" s="1244"/>
      <c r="I46" s="1244"/>
      <c r="J46" s="1244"/>
      <c r="K46" s="1244"/>
      <c r="L46" s="1245"/>
      <c r="M46" s="1246"/>
      <c r="N46" s="1246"/>
      <c r="O46" s="1246"/>
      <c r="P46" s="1280"/>
      <c r="Q46" s="1281"/>
      <c r="R46" s="277"/>
      <c r="S46" s="1221" t="str">
        <f>INDEX(PT_DIFFERENTIATION_NUM_TER,MATCH(B46,PT_DIFFERENTIATION_TER_ID,0))</f>
        <v>.</v>
      </c>
      <c r="T46" s="228" t="s">
        <v>1461</v>
      </c>
      <c r="U46" s="218"/>
      <c r="V46" s="2230"/>
      <c r="W46" s="2230"/>
      <c r="X46" s="2230"/>
      <c r="Y46" s="2230"/>
      <c r="Z46" s="2230"/>
      <c r="AA46" s="2231"/>
      <c r="AB46" s="2229" t="str">
        <f>INDEX(PT_DIFFERENTIATION_TER,MATCH(B46,PT_DIFFERENTIATION_TER_ID,0))</f>
        <v/>
      </c>
      <c r="AC46" s="2230"/>
      <c r="AD46" s="2230"/>
      <c r="AE46" s="2230"/>
      <c r="AF46" s="2230"/>
      <c r="AG46" s="2230"/>
      <c r="AH46" s="2230"/>
      <c r="AI46" s="2230"/>
      <c r="AJ46" s="2230"/>
      <c r="AK46" s="2230"/>
      <c r="AL46" s="2230"/>
      <c r="AM46" s="2230"/>
      <c r="AN46" s="2230"/>
      <c r="AO46" s="2230"/>
      <c r="AP46" s="2230"/>
      <c r="AQ46" s="2230"/>
      <c r="AR46" s="2230"/>
      <c r="AS46" s="2230"/>
      <c r="AT46" s="2231"/>
      <c r="AU46" s="1140" t="s">
        <v>1462</v>
      </c>
      <c r="AW46" s="428"/>
      <c r="AX46" s="428" t="str">
        <f t="shared" si="2"/>
        <v>Территория действия тарифа</v>
      </c>
      <c r="AY46" s="428"/>
      <c r="AZ46" s="428"/>
    </row>
    <row r="47" spans="1:52" ht="23.25" customHeight="1">
      <c r="A47" s="1244" t="s">
        <v>204</v>
      </c>
      <c r="B47" s="1244" t="s">
        <v>205</v>
      </c>
      <c r="C47" s="1244" t="s">
        <v>206</v>
      </c>
      <c r="D47" s="1244"/>
      <c r="E47" s="2236"/>
      <c r="F47" s="2236"/>
      <c r="G47" s="2235">
        <v>1</v>
      </c>
      <c r="H47" s="1244"/>
      <c r="I47" s="1244"/>
      <c r="J47" s="1244"/>
      <c r="K47" s="1244"/>
      <c r="L47" s="1245"/>
      <c r="M47" s="1246"/>
      <c r="N47" s="1246"/>
      <c r="O47" s="1246"/>
      <c r="P47" s="1282"/>
      <c r="Q47" s="1281"/>
      <c r="R47" s="277"/>
      <c r="S47" s="1221" t="str">
        <f>INDEX(PT_DIFFERENTIATION_NUM_CS,MATCH(C47,PT_DIFFERENTIATION_CS_ID,0))</f>
        <v>..</v>
      </c>
      <c r="T47" s="229" t="s">
        <v>1463</v>
      </c>
      <c r="U47" s="218"/>
      <c r="V47" s="2230"/>
      <c r="W47" s="2230"/>
      <c r="X47" s="2230"/>
      <c r="Y47" s="2230"/>
      <c r="Z47" s="2230"/>
      <c r="AA47" s="2231"/>
      <c r="AB47" s="2229" t="str">
        <f>INDEX(PT_DIFFERENTIATION_CS,MATCH(C47,PT_DIFFERENTIATION_CS_ID,0))</f>
        <v/>
      </c>
      <c r="AC47" s="2230"/>
      <c r="AD47" s="2230"/>
      <c r="AE47" s="2230"/>
      <c r="AF47" s="2230"/>
      <c r="AG47" s="2230"/>
      <c r="AH47" s="2230"/>
      <c r="AI47" s="2230"/>
      <c r="AJ47" s="2230"/>
      <c r="AK47" s="2230"/>
      <c r="AL47" s="2230"/>
      <c r="AM47" s="2230"/>
      <c r="AN47" s="2230"/>
      <c r="AO47" s="2230"/>
      <c r="AP47" s="2230"/>
      <c r="AQ47" s="2230"/>
      <c r="AR47" s="2230"/>
      <c r="AS47" s="2230"/>
      <c r="AT47" s="2231"/>
      <c r="AU47" s="1140" t="s">
        <v>1464</v>
      </c>
      <c r="AW47" s="428"/>
      <c r="AX47" s="428" t="str">
        <f t="shared" si="2"/>
        <v xml:space="preserve">Наименование системы теплоснабжения </v>
      </c>
      <c r="AY47" s="428"/>
      <c r="AZ47" s="428"/>
    </row>
    <row r="48" spans="1:52" ht="21" customHeight="1">
      <c r="A48" s="1244" t="s">
        <v>204</v>
      </c>
      <c r="B48" s="1244" t="s">
        <v>205</v>
      </c>
      <c r="C48" s="1244" t="s">
        <v>206</v>
      </c>
      <c r="D48" s="1244" t="s">
        <v>207</v>
      </c>
      <c r="E48" s="2236"/>
      <c r="F48" s="2236"/>
      <c r="G48" s="2236"/>
      <c r="H48" s="2235">
        <v>1</v>
      </c>
      <c r="I48" s="1244"/>
      <c r="J48" s="1244"/>
      <c r="K48" s="1244"/>
      <c r="L48" s="1245"/>
      <c r="M48" s="1246"/>
      <c r="N48" s="1246"/>
      <c r="O48" s="1246"/>
      <c r="P48" s="1282"/>
      <c r="Q48" s="1281"/>
      <c r="R48" s="277"/>
      <c r="S48" s="1221" t="str">
        <f>INDEX(PT_DIFFERENTIATION_NUM_IST_TE,MATCH(D48,PT_DIFFERENTIATION_IST_TE_ID,0))</f>
        <v>...</v>
      </c>
      <c r="T48" s="230" t="s">
        <v>1465</v>
      </c>
      <c r="U48" s="218"/>
      <c r="V48" s="2230"/>
      <c r="W48" s="2230"/>
      <c r="X48" s="2230"/>
      <c r="Y48" s="2230"/>
      <c r="Z48" s="2230"/>
      <c r="AA48" s="2231"/>
      <c r="AB48" s="2229" t="str">
        <f>INDEX(PT_DIFFERENTIATION_IST_TE,MATCH(D48,PT_DIFFERENTIATION_IST_TE_ID,0))</f>
        <v/>
      </c>
      <c r="AC48" s="2230"/>
      <c r="AD48" s="2230"/>
      <c r="AE48" s="2230"/>
      <c r="AF48" s="2230"/>
      <c r="AG48" s="2230"/>
      <c r="AH48" s="2230"/>
      <c r="AI48" s="2230"/>
      <c r="AJ48" s="2230"/>
      <c r="AK48" s="2230"/>
      <c r="AL48" s="2230"/>
      <c r="AM48" s="2230"/>
      <c r="AN48" s="2230"/>
      <c r="AO48" s="2230"/>
      <c r="AP48" s="2230"/>
      <c r="AQ48" s="2230"/>
      <c r="AR48" s="2230"/>
      <c r="AS48" s="2230"/>
      <c r="AT48" s="2231"/>
      <c r="AU48" s="1140" t="s">
        <v>1466</v>
      </c>
      <c r="AW48" s="428"/>
      <c r="AX48" s="428" t="str">
        <f t="shared" si="2"/>
        <v xml:space="preserve">Источник тепловой энергии  </v>
      </c>
      <c r="AY48" s="428"/>
      <c r="AZ48" s="428"/>
    </row>
    <row r="49" spans="1:52" s="1772" customFormat="1" ht="0" hidden="1" customHeight="1">
      <c r="A49" s="1228" t="s">
        <v>204</v>
      </c>
      <c r="B49" s="1228" t="s">
        <v>205</v>
      </c>
      <c r="C49" s="1228" t="s">
        <v>206</v>
      </c>
      <c r="D49" s="1228" t="s">
        <v>207</v>
      </c>
      <c r="E49" s="2236"/>
      <c r="F49" s="2236"/>
      <c r="G49" s="2236"/>
      <c r="H49" s="2236"/>
      <c r="I49" s="2237" t="str">
        <f>S48&amp;".1"</f>
        <v>....1</v>
      </c>
      <c r="J49" s="1228"/>
      <c r="K49" s="1228"/>
      <c r="L49" s="1231" t="s">
        <v>1467</v>
      </c>
      <c r="M49" s="438"/>
      <c r="N49" s="438"/>
      <c r="O49" s="438"/>
      <c r="P49" s="2157">
        <v>1</v>
      </c>
      <c r="Q49" s="1216"/>
      <c r="R49" s="280"/>
      <c r="S49" s="932"/>
      <c r="T49" s="1263"/>
      <c r="U49" s="1264"/>
      <c r="V49" s="2264"/>
      <c r="W49" s="2264"/>
      <c r="X49" s="2264"/>
      <c r="Y49" s="2264"/>
      <c r="Z49" s="2264"/>
      <c r="AA49" s="2265"/>
      <c r="AB49" s="2263"/>
      <c r="AC49" s="2264"/>
      <c r="AD49" s="2264"/>
      <c r="AE49" s="2264"/>
      <c r="AF49" s="2264"/>
      <c r="AG49" s="2264"/>
      <c r="AH49" s="2264"/>
      <c r="AI49" s="2264"/>
      <c r="AJ49" s="2264"/>
      <c r="AK49" s="2264"/>
      <c r="AL49" s="2264"/>
      <c r="AM49" s="2264"/>
      <c r="AN49" s="2264"/>
      <c r="AO49" s="2264"/>
      <c r="AP49" s="2264"/>
      <c r="AQ49" s="2264"/>
      <c r="AR49" s="2264"/>
      <c r="AS49" s="2264"/>
      <c r="AT49" s="2265"/>
      <c r="AU49" s="1265"/>
      <c r="AW49" s="428"/>
      <c r="AX49" s="428" t="str">
        <f t="shared" si="2"/>
        <v/>
      </c>
      <c r="AY49" s="428"/>
      <c r="AZ49" s="428"/>
    </row>
    <row r="50" spans="1:52" s="1772" customFormat="1" ht="0" hidden="1" customHeight="1">
      <c r="A50" s="1228" t="s">
        <v>204</v>
      </c>
      <c r="B50" s="1228" t="s">
        <v>205</v>
      </c>
      <c r="C50" s="1228" t="s">
        <v>206</v>
      </c>
      <c r="D50" s="1228" t="s">
        <v>207</v>
      </c>
      <c r="E50" s="2236"/>
      <c r="F50" s="2236"/>
      <c r="G50" s="2236"/>
      <c r="H50" s="2236"/>
      <c r="I50" s="2238"/>
      <c r="J50" s="2237" t="str">
        <f>S48&amp;".1"</f>
        <v>....1</v>
      </c>
      <c r="K50" s="1228"/>
      <c r="L50" s="1231"/>
      <c r="M50" s="438"/>
      <c r="N50" s="438"/>
      <c r="O50" s="438"/>
      <c r="P50" s="2157"/>
      <c r="Q50" s="2157">
        <v>1</v>
      </c>
      <c r="R50" s="281"/>
      <c r="S50" s="932"/>
      <c r="T50" s="1273"/>
      <c r="U50" s="1264"/>
      <c r="V50" s="2264"/>
      <c r="W50" s="2264"/>
      <c r="X50" s="2264"/>
      <c r="Y50" s="2264"/>
      <c r="Z50" s="2264"/>
      <c r="AA50" s="2265"/>
      <c r="AB50" s="2263"/>
      <c r="AC50" s="2264"/>
      <c r="AD50" s="2264"/>
      <c r="AE50" s="2264"/>
      <c r="AF50" s="2264"/>
      <c r="AG50" s="2264"/>
      <c r="AH50" s="2264"/>
      <c r="AI50" s="2264"/>
      <c r="AJ50" s="2264"/>
      <c r="AK50" s="2264"/>
      <c r="AL50" s="2264"/>
      <c r="AM50" s="2264"/>
      <c r="AN50" s="2264"/>
      <c r="AO50" s="2264"/>
      <c r="AP50" s="2264"/>
      <c r="AQ50" s="2264"/>
      <c r="AR50" s="2264"/>
      <c r="AS50" s="2264"/>
      <c r="AT50" s="2265"/>
      <c r="AU50" s="1265"/>
      <c r="AW50" s="428"/>
      <c r="AX50" s="428" t="str">
        <f t="shared" si="2"/>
        <v/>
      </c>
      <c r="AY50" s="428"/>
      <c r="AZ50" s="428"/>
    </row>
    <row r="51" spans="1:52" ht="21" customHeight="1">
      <c r="A51" s="1244" t="s">
        <v>204</v>
      </c>
      <c r="B51" s="1244" t="s">
        <v>205</v>
      </c>
      <c r="C51" s="1244" t="s">
        <v>206</v>
      </c>
      <c r="D51" s="1244" t="s">
        <v>207</v>
      </c>
      <c r="E51" s="2236"/>
      <c r="F51" s="2236"/>
      <c r="G51" s="2236"/>
      <c r="H51" s="2236"/>
      <c r="I51" s="2238"/>
      <c r="J51" s="2238"/>
      <c r="K51" s="2237" t="str">
        <f>S48&amp;".1"</f>
        <v>....1</v>
      </c>
      <c r="L51" s="1245"/>
      <c r="P51" s="2157"/>
      <c r="Q51" s="2157"/>
      <c r="R51" s="281">
        <v>1</v>
      </c>
      <c r="S51" s="2286" t="str">
        <f>$K51</f>
        <v>....1</v>
      </c>
      <c r="T51" s="2283"/>
      <c r="U51" s="218"/>
      <c r="V51" s="1667"/>
      <c r="W51" s="1669"/>
      <c r="X51" s="1593"/>
      <c r="Y51" s="1324" t="s">
        <v>66</v>
      </c>
      <c r="Z51" s="1593"/>
      <c r="AA51" s="1324" t="s">
        <v>66</v>
      </c>
      <c r="AB51" s="2031" t="s">
        <v>56</v>
      </c>
      <c r="AC51" s="2282"/>
      <c r="AD51" s="2281">
        <v>1</v>
      </c>
      <c r="AE51" s="2272" t="s">
        <v>17</v>
      </c>
      <c r="AF51" s="2031" t="s">
        <v>56</v>
      </c>
      <c r="AG51" s="2282"/>
      <c r="AH51" s="2281">
        <v>1</v>
      </c>
      <c r="AI51" s="2272" t="s">
        <v>17</v>
      </c>
      <c r="AJ51" s="2031" t="s">
        <v>56</v>
      </c>
      <c r="AK51" s="231"/>
      <c r="AL51" s="1222">
        <v>1</v>
      </c>
      <c r="AM51" s="1276"/>
      <c r="AN51" s="1667"/>
      <c r="AO51" s="1669"/>
      <c r="AP51" s="1593"/>
      <c r="AQ51" s="1324" t="s">
        <v>66</v>
      </c>
      <c r="AR51" s="1593"/>
      <c r="AS51" s="1324" t="s">
        <v>66</v>
      </c>
      <c r="AT51" s="1675"/>
      <c r="AU51" s="2257" t="s">
        <v>1537</v>
      </c>
      <c r="AV51" s="439" t="e">
        <f ca="1">STRCHECKDATE(V54:AT54)</f>
        <v>#NAME?</v>
      </c>
      <c r="AW51" s="428"/>
      <c r="AX51" s="428" t="str">
        <f t="shared" si="2"/>
        <v/>
      </c>
      <c r="AY51" s="428"/>
      <c r="AZ51" s="428"/>
    </row>
    <row r="52" spans="1:52" ht="11.25" customHeight="1">
      <c r="A52" s="1244" t="s">
        <v>204</v>
      </c>
      <c r="B52" s="1244"/>
      <c r="C52" s="1244"/>
      <c r="D52" s="1244"/>
      <c r="E52" s="2236"/>
      <c r="F52" s="2236"/>
      <c r="G52" s="2236"/>
      <c r="H52" s="2236"/>
      <c r="I52" s="2238"/>
      <c r="J52" s="2238"/>
      <c r="K52" s="2237"/>
      <c r="L52" s="1245"/>
      <c r="P52" s="2157"/>
      <c r="Q52" s="2157"/>
      <c r="R52" s="281"/>
      <c r="S52" s="2287"/>
      <c r="T52" s="2284"/>
      <c r="U52" s="218"/>
      <c r="V52" s="1683"/>
      <c r="W52" s="1689"/>
      <c r="X52" s="1683"/>
      <c r="Y52" s="1683"/>
      <c r="Z52" s="1683"/>
      <c r="AA52" s="1683"/>
      <c r="AB52" s="2031"/>
      <c r="AC52" s="2282"/>
      <c r="AD52" s="2281"/>
      <c r="AE52" s="2272"/>
      <c r="AF52" s="2031"/>
      <c r="AG52" s="2282"/>
      <c r="AH52" s="2281"/>
      <c r="AI52" s="2272"/>
      <c r="AJ52" s="2031"/>
      <c r="AK52" s="238"/>
      <c r="AL52" s="351"/>
      <c r="AM52" s="350" t="s">
        <v>1538</v>
      </c>
      <c r="AN52" s="1683"/>
      <c r="AO52" s="1689"/>
      <c r="AP52" s="1683"/>
      <c r="AQ52" s="1683"/>
      <c r="AR52" s="1683"/>
      <c r="AS52" s="1683"/>
      <c r="AT52" s="1690"/>
      <c r="AU52" s="2258"/>
      <c r="AW52" s="428"/>
      <c r="AX52" s="428"/>
      <c r="AY52" s="428"/>
      <c r="AZ52" s="428"/>
    </row>
    <row r="53" spans="1:52" ht="11.25" customHeight="1">
      <c r="A53" s="1244" t="s">
        <v>204</v>
      </c>
      <c r="B53" s="1244"/>
      <c r="C53" s="1244"/>
      <c r="D53" s="1244"/>
      <c r="E53" s="2236"/>
      <c r="F53" s="2236"/>
      <c r="G53" s="2236"/>
      <c r="H53" s="2236"/>
      <c r="I53" s="2238"/>
      <c r="J53" s="2238"/>
      <c r="K53" s="2237"/>
      <c r="L53" s="1245"/>
      <c r="P53" s="2157"/>
      <c r="Q53" s="2157"/>
      <c r="R53" s="281"/>
      <c r="S53" s="2287"/>
      <c r="T53" s="2284"/>
      <c r="U53" s="218"/>
      <c r="V53" s="1683"/>
      <c r="W53" s="1689"/>
      <c r="X53" s="1683"/>
      <c r="Y53" s="1683"/>
      <c r="Z53" s="1683"/>
      <c r="AA53" s="1683"/>
      <c r="AB53" s="2031"/>
      <c r="AC53" s="2282"/>
      <c r="AD53" s="2281"/>
      <c r="AE53" s="2272"/>
      <c r="AF53" s="2031"/>
      <c r="AG53" s="212"/>
      <c r="AH53" s="350"/>
      <c r="AI53" s="350" t="s">
        <v>1539</v>
      </c>
      <c r="AJ53" s="1683"/>
      <c r="AK53" s="1683"/>
      <c r="AL53" s="1683"/>
      <c r="AM53" s="1683"/>
      <c r="AN53" s="1683"/>
      <c r="AO53" s="1689"/>
      <c r="AP53" s="1683"/>
      <c r="AQ53" s="1683"/>
      <c r="AR53" s="1683"/>
      <c r="AS53" s="1683"/>
      <c r="AT53" s="1690"/>
      <c r="AU53" s="2258"/>
      <c r="AW53" s="428"/>
      <c r="AX53" s="428"/>
      <c r="AY53" s="428"/>
      <c r="AZ53" s="428"/>
    </row>
    <row r="54" spans="1:52" ht="11.25" customHeight="1">
      <c r="A54" s="1244" t="s">
        <v>204</v>
      </c>
      <c r="B54" s="1244" t="s">
        <v>205</v>
      </c>
      <c r="C54" s="1244" t="s">
        <v>206</v>
      </c>
      <c r="D54" s="1244" t="s">
        <v>207</v>
      </c>
      <c r="E54" s="2236"/>
      <c r="F54" s="2236"/>
      <c r="G54" s="2236"/>
      <c r="H54" s="2236"/>
      <c r="I54" s="2238"/>
      <c r="J54" s="2238"/>
      <c r="K54" s="2237"/>
      <c r="L54" s="1245"/>
      <c r="P54" s="2157"/>
      <c r="Q54" s="2157"/>
      <c r="R54" s="281"/>
      <c r="S54" s="2288"/>
      <c r="T54" s="2285"/>
      <c r="U54" s="218"/>
      <c r="V54" s="1683"/>
      <c r="W54" s="1684" t="str">
        <f>X51&amp;"-"&amp;Z51</f>
        <v>-</v>
      </c>
      <c r="X54" s="1683"/>
      <c r="Y54" s="1683"/>
      <c r="Z54" s="1683"/>
      <c r="AA54" s="1683"/>
      <c r="AB54" s="2031"/>
      <c r="AC54" s="232"/>
      <c r="AD54" s="234"/>
      <c r="AE54" s="350" t="s">
        <v>1540</v>
      </c>
      <c r="AF54" s="1683"/>
      <c r="AG54" s="1683"/>
      <c r="AH54" s="1683"/>
      <c r="AI54" s="1683"/>
      <c r="AJ54" s="1683"/>
      <c r="AK54" s="1683"/>
      <c r="AL54" s="1683"/>
      <c r="AM54" s="1683"/>
      <c r="AN54" s="1683"/>
      <c r="AO54" s="1684" t="str">
        <f>AP51&amp;"-"&amp;AR51</f>
        <v>-</v>
      </c>
      <c r="AP54" s="1683"/>
      <c r="AQ54" s="1683"/>
      <c r="AR54" s="1683"/>
      <c r="AS54" s="1683"/>
      <c r="AT54" s="1676"/>
      <c r="AU54" s="2258"/>
      <c r="AW54" s="428"/>
      <c r="AX54" s="428" t="str">
        <f t="shared" ref="AX54:AX62" si="3">IF(T54="","",T54)</f>
        <v/>
      </c>
      <c r="AY54" s="428"/>
      <c r="AZ54" s="428"/>
    </row>
    <row r="55" spans="1:52" ht="11.25" customHeight="1">
      <c r="A55" s="1244" t="s">
        <v>204</v>
      </c>
      <c r="B55" s="1244" t="s">
        <v>205</v>
      </c>
      <c r="C55" s="1244" t="s">
        <v>206</v>
      </c>
      <c r="D55" s="1244" t="s">
        <v>207</v>
      </c>
      <c r="E55" s="2236"/>
      <c r="F55" s="2236"/>
      <c r="G55" s="2236"/>
      <c r="H55" s="2236"/>
      <c r="I55" s="2238"/>
      <c r="J55" s="2237"/>
      <c r="K55" s="1244"/>
      <c r="L55" s="1245"/>
      <c r="P55" s="2157"/>
      <c r="Q55" s="2157"/>
      <c r="R55" s="280"/>
      <c r="S55" s="1161"/>
      <c r="T55" s="205" t="s">
        <v>1541</v>
      </c>
      <c r="U55" s="294"/>
      <c r="V55" s="294"/>
      <c r="W55" s="294"/>
      <c r="X55" s="294"/>
      <c r="Y55" s="294"/>
      <c r="Z55" s="294"/>
      <c r="AA55" s="251"/>
      <c r="AB55" s="1366"/>
      <c r="AC55" s="294"/>
      <c r="AD55" s="294"/>
      <c r="AE55" s="294"/>
      <c r="AF55" s="294"/>
      <c r="AG55" s="294"/>
      <c r="AH55" s="294"/>
      <c r="AI55" s="294"/>
      <c r="AJ55" s="294"/>
      <c r="AK55" s="294"/>
      <c r="AL55" s="294"/>
      <c r="AM55" s="294"/>
      <c r="AN55" s="294"/>
      <c r="AO55" s="294"/>
      <c r="AP55" s="294"/>
      <c r="AQ55" s="294"/>
      <c r="AR55" s="294"/>
      <c r="AS55" s="294"/>
      <c r="AT55" s="251"/>
      <c r="AU55" s="2259"/>
      <c r="AW55" s="428"/>
      <c r="AX55" s="428" t="str">
        <f t="shared" si="3"/>
        <v>Добавить строку</v>
      </c>
      <c r="AY55" s="428"/>
      <c r="AZ55" s="428"/>
    </row>
    <row r="56" spans="1:52" s="1772" customFormat="1" ht="0" hidden="1" customHeight="1">
      <c r="A56" s="1228" t="s">
        <v>204</v>
      </c>
      <c r="B56" s="1228" t="s">
        <v>205</v>
      </c>
      <c r="C56" s="1228" t="s">
        <v>206</v>
      </c>
      <c r="D56" s="1228" t="s">
        <v>207</v>
      </c>
      <c r="E56" s="2236"/>
      <c r="F56" s="2236"/>
      <c r="G56" s="2236"/>
      <c r="H56" s="2236"/>
      <c r="I56" s="2237"/>
      <c r="J56" s="1228"/>
      <c r="K56" s="1228"/>
      <c r="L56" s="1231"/>
      <c r="M56" s="438"/>
      <c r="N56" s="438"/>
      <c r="O56" s="438"/>
      <c r="P56" s="2157"/>
      <c r="Q56" s="1216"/>
      <c r="R56" s="280"/>
      <c r="S56" s="1266"/>
      <c r="T56" s="1267" t="s">
        <v>1476</v>
      </c>
      <c r="U56" s="1268"/>
      <c r="V56" s="1268"/>
      <c r="W56" s="1268"/>
      <c r="X56" s="1268"/>
      <c r="Y56" s="1268"/>
      <c r="Z56" s="1268"/>
      <c r="AA56" s="1268"/>
      <c r="AB56" s="1268"/>
      <c r="AC56" s="1268"/>
      <c r="AD56" s="1268"/>
      <c r="AE56" s="1268"/>
      <c r="AF56" s="1268"/>
      <c r="AG56" s="1268"/>
      <c r="AH56" s="1268"/>
      <c r="AI56" s="1268"/>
      <c r="AJ56" s="1268"/>
      <c r="AK56" s="1268"/>
      <c r="AL56" s="1268"/>
      <c r="AM56" s="1268"/>
      <c r="AN56" s="1268"/>
      <c r="AO56" s="1268"/>
      <c r="AP56" s="1268"/>
      <c r="AQ56" s="1268"/>
      <c r="AR56" s="1268"/>
      <c r="AS56" s="1268"/>
      <c r="AT56" s="1268"/>
      <c r="AU56" s="1269"/>
      <c r="AW56" s="428"/>
      <c r="AX56" s="428" t="str">
        <f t="shared" si="3"/>
        <v>Добавить группу потребителей</v>
      </c>
      <c r="AY56" s="428"/>
      <c r="AZ56" s="428"/>
    </row>
    <row r="57" spans="1:52" s="1720" customFormat="1" ht="0" hidden="1" customHeight="1">
      <c r="A57" s="1228" t="s">
        <v>204</v>
      </c>
      <c r="B57" s="1228" t="s">
        <v>205</v>
      </c>
      <c r="C57" s="1228" t="s">
        <v>206</v>
      </c>
      <c r="D57" s="1228" t="s">
        <v>207</v>
      </c>
      <c r="E57" s="2236"/>
      <c r="F57" s="2236"/>
      <c r="G57" s="2236"/>
      <c r="H57" s="2235"/>
      <c r="I57" s="1228"/>
      <c r="J57" s="1228"/>
      <c r="K57" s="1228"/>
      <c r="L57" s="1231"/>
      <c r="M57" s="1201"/>
      <c r="N57" s="1201"/>
      <c r="O57" s="446"/>
      <c r="P57" s="311"/>
      <c r="Q57" s="1229"/>
      <c r="R57" s="1274"/>
      <c r="S57" s="1266"/>
      <c r="T57" s="1267"/>
      <c r="U57" s="1268"/>
      <c r="V57" s="1268"/>
      <c r="W57" s="1268"/>
      <c r="X57" s="1268"/>
      <c r="Y57" s="1268"/>
      <c r="Z57" s="1268"/>
      <c r="AA57" s="1268"/>
      <c r="AB57" s="1268"/>
      <c r="AC57" s="1268"/>
      <c r="AD57" s="1268"/>
      <c r="AE57" s="1268"/>
      <c r="AF57" s="1268"/>
      <c r="AG57" s="1268"/>
      <c r="AH57" s="1268"/>
      <c r="AI57" s="1268"/>
      <c r="AJ57" s="1268"/>
      <c r="AK57" s="1268"/>
      <c r="AL57" s="1268"/>
      <c r="AM57" s="1268"/>
      <c r="AN57" s="1268"/>
      <c r="AO57" s="1268"/>
      <c r="AP57" s="1268"/>
      <c r="AQ57" s="1268"/>
      <c r="AR57" s="1268"/>
      <c r="AS57" s="1268"/>
      <c r="AT57" s="1268"/>
      <c r="AU57" s="1269"/>
      <c r="AV57" s="439"/>
      <c r="AW57" s="428"/>
      <c r="AX57" s="428" t="str">
        <f t="shared" si="3"/>
        <v/>
      </c>
      <c r="AY57" s="428"/>
      <c r="AZ57" s="428"/>
    </row>
    <row r="58" spans="1:52" s="1772" customFormat="1" ht="0" hidden="1" customHeight="1">
      <c r="A58" s="1228" t="s">
        <v>204</v>
      </c>
      <c r="B58" s="1228" t="s">
        <v>205</v>
      </c>
      <c r="C58" s="1228" t="s">
        <v>206</v>
      </c>
      <c r="D58" s="1200"/>
      <c r="E58" s="2236"/>
      <c r="F58" s="2236"/>
      <c r="G58" s="2235"/>
      <c r="H58" s="1200"/>
      <c r="I58" s="1200"/>
      <c r="J58" s="1200"/>
      <c r="K58" s="1200"/>
      <c r="L58" s="1224"/>
      <c r="M58" s="1201"/>
      <c r="N58" s="1201"/>
      <c r="P58" s="1202"/>
      <c r="Q58" s="1203"/>
      <c r="R58" s="1202"/>
      <c r="S58" s="1208"/>
      <c r="T58" s="1211" t="s">
        <v>1436</v>
      </c>
      <c r="U58" s="1210"/>
      <c r="V58" s="1210"/>
      <c r="W58" s="1210"/>
      <c r="X58" s="1210"/>
      <c r="Y58" s="1210"/>
      <c r="Z58" s="1210"/>
      <c r="AA58" s="1210"/>
      <c r="AB58" s="1210"/>
      <c r="AC58" s="1210"/>
      <c r="AD58" s="1210"/>
      <c r="AE58" s="1210"/>
      <c r="AF58" s="1210"/>
      <c r="AG58" s="1210"/>
      <c r="AH58" s="1210"/>
      <c r="AI58" s="1210"/>
      <c r="AJ58" s="1210"/>
      <c r="AK58" s="1210"/>
      <c r="AL58" s="1210"/>
      <c r="AM58" s="1210"/>
      <c r="AN58" s="1210"/>
      <c r="AO58" s="1210"/>
      <c r="AP58" s="1210"/>
      <c r="AQ58" s="1210"/>
      <c r="AR58" s="1210"/>
      <c r="AS58" s="1210"/>
      <c r="AT58" s="1210"/>
      <c r="AU58" s="1210"/>
      <c r="AW58" s="696"/>
      <c r="AX58" s="696" t="str">
        <f t="shared" si="3"/>
        <v>Добавить источник для дифференциации</v>
      </c>
      <c r="AY58" s="696"/>
      <c r="AZ58" s="696"/>
    </row>
    <row r="59" spans="1:52" s="1772" customFormat="1" ht="0" hidden="1" customHeight="1">
      <c r="A59" s="1228" t="s">
        <v>204</v>
      </c>
      <c r="B59" s="1228" t="s">
        <v>205</v>
      </c>
      <c r="C59" s="1200"/>
      <c r="D59" s="1200"/>
      <c r="E59" s="2236"/>
      <c r="F59" s="2235"/>
      <c r="G59" s="1200"/>
      <c r="H59" s="1200"/>
      <c r="I59" s="1200"/>
      <c r="J59" s="1200"/>
      <c r="K59" s="1200"/>
      <c r="L59" s="1224"/>
      <c r="M59" s="1207"/>
      <c r="N59" s="1207"/>
      <c r="P59" s="1202"/>
      <c r="Q59" s="1203"/>
      <c r="R59" s="1202"/>
      <c r="S59" s="1208"/>
      <c r="T59" s="1211" t="s">
        <v>1437</v>
      </c>
      <c r="U59" s="1210"/>
      <c r="V59" s="1210"/>
      <c r="W59" s="1210"/>
      <c r="X59" s="1210"/>
      <c r="Y59" s="1210"/>
      <c r="Z59" s="1210"/>
      <c r="AA59" s="1210"/>
      <c r="AB59" s="1210"/>
      <c r="AC59" s="1210"/>
      <c r="AD59" s="1210"/>
      <c r="AE59" s="1210"/>
      <c r="AF59" s="1210"/>
      <c r="AG59" s="1210"/>
      <c r="AH59" s="1210"/>
      <c r="AI59" s="1210"/>
      <c r="AJ59" s="1210"/>
      <c r="AK59" s="1210"/>
      <c r="AL59" s="1210"/>
      <c r="AM59" s="1210"/>
      <c r="AN59" s="1210"/>
      <c r="AO59" s="1210"/>
      <c r="AP59" s="1210"/>
      <c r="AQ59" s="1210"/>
      <c r="AR59" s="1210"/>
      <c r="AS59" s="1210"/>
      <c r="AT59" s="1210"/>
      <c r="AU59" s="1210"/>
      <c r="AW59" s="696"/>
      <c r="AX59" s="696" t="str">
        <f t="shared" si="3"/>
        <v>Добавить централизованную систему для дифференциации</v>
      </c>
      <c r="AY59" s="696"/>
      <c r="AZ59" s="696"/>
    </row>
    <row r="60" spans="1:52" s="1772" customFormat="1" ht="0" hidden="1" customHeight="1">
      <c r="A60" s="1228" t="s">
        <v>204</v>
      </c>
      <c r="B60" s="1228"/>
      <c r="C60" s="1228"/>
      <c r="D60" s="1228"/>
      <c r="E60" s="2236"/>
      <c r="F60" s="1228"/>
      <c r="G60" s="1228"/>
      <c r="H60" s="1228"/>
      <c r="I60" s="1228"/>
      <c r="J60" s="1228"/>
      <c r="K60" s="1228"/>
      <c r="L60" s="1231"/>
      <c r="M60" s="1207"/>
      <c r="N60" s="1207"/>
      <c r="O60" s="446"/>
      <c r="P60" s="311"/>
      <c r="Q60" s="1229"/>
      <c r="R60" s="311"/>
      <c r="S60" s="1208"/>
      <c r="T60" s="1211" t="s">
        <v>1438</v>
      </c>
      <c r="U60" s="1210"/>
      <c r="V60" s="1210"/>
      <c r="W60" s="1210"/>
      <c r="X60" s="1210"/>
      <c r="Y60" s="1210"/>
      <c r="Z60" s="1210"/>
      <c r="AA60" s="1210"/>
      <c r="AB60" s="1210"/>
      <c r="AC60" s="1210"/>
      <c r="AD60" s="1210"/>
      <c r="AE60" s="1210"/>
      <c r="AF60" s="1210"/>
      <c r="AG60" s="1210"/>
      <c r="AH60" s="1210"/>
      <c r="AI60" s="1210"/>
      <c r="AJ60" s="1210"/>
      <c r="AK60" s="1210"/>
      <c r="AL60" s="1210"/>
      <c r="AM60" s="1210"/>
      <c r="AN60" s="1210"/>
      <c r="AO60" s="1210"/>
      <c r="AP60" s="1210"/>
      <c r="AQ60" s="1210"/>
      <c r="AR60" s="1210"/>
      <c r="AS60" s="1210"/>
      <c r="AT60" s="1210"/>
      <c r="AU60" s="1210"/>
      <c r="AW60" s="428"/>
      <c r="AX60" s="428" t="str">
        <f t="shared" si="3"/>
        <v>Добавить территорию для дифференциации</v>
      </c>
      <c r="AY60" s="428"/>
      <c r="AZ60" s="428"/>
    </row>
    <row r="61" spans="1:52" s="1772" customFormat="1" ht="0" hidden="1" customHeight="1">
      <c r="A61" s="1228" t="s">
        <v>204</v>
      </c>
      <c r="B61" s="1228"/>
      <c r="C61" s="1228"/>
      <c r="D61" s="1228"/>
      <c r="E61" s="2235"/>
      <c r="F61" s="1228"/>
      <c r="G61" s="1228"/>
      <c r="H61" s="1228"/>
      <c r="I61" s="1228"/>
      <c r="J61" s="1228"/>
      <c r="K61" s="1228"/>
      <c r="L61" s="1231"/>
      <c r="M61" s="1207"/>
      <c r="N61" s="1207"/>
      <c r="O61" s="446"/>
      <c r="P61" s="311"/>
      <c r="Q61" s="1229"/>
      <c r="R61" s="311"/>
      <c r="S61" s="1208"/>
      <c r="T61" s="1211" t="s">
        <v>1438</v>
      </c>
      <c r="U61" s="1210"/>
      <c r="V61" s="1210"/>
      <c r="W61" s="1210"/>
      <c r="X61" s="1210"/>
      <c r="Y61" s="1210"/>
      <c r="Z61" s="1210"/>
      <c r="AA61" s="1210"/>
      <c r="AB61" s="1210"/>
      <c r="AC61" s="1210"/>
      <c r="AD61" s="1210"/>
      <c r="AE61" s="1210"/>
      <c r="AF61" s="1210"/>
      <c r="AG61" s="1210"/>
      <c r="AH61" s="1210"/>
      <c r="AI61" s="1210"/>
      <c r="AJ61" s="1210"/>
      <c r="AK61" s="1210"/>
      <c r="AL61" s="1210"/>
      <c r="AM61" s="1210"/>
      <c r="AN61" s="1210"/>
      <c r="AO61" s="1210"/>
      <c r="AP61" s="1210"/>
      <c r="AQ61" s="1210"/>
      <c r="AR61" s="1210"/>
      <c r="AS61" s="1210"/>
      <c r="AT61" s="1210"/>
      <c r="AU61" s="1210"/>
      <c r="AW61" s="428"/>
      <c r="AX61" s="428" t="str">
        <f t="shared" si="3"/>
        <v>Добавить территорию для дифференциации</v>
      </c>
      <c r="AY61" s="428"/>
      <c r="AZ61" s="428"/>
    </row>
    <row r="62" spans="1:52" s="1772" customFormat="1" ht="0" hidden="1" customHeight="1">
      <c r="A62" s="1200"/>
      <c r="B62" s="1200"/>
      <c r="C62" s="1200"/>
      <c r="D62" s="1200"/>
      <c r="E62" s="1228"/>
      <c r="F62" s="1200"/>
      <c r="G62" s="1200"/>
      <c r="H62" s="1200"/>
      <c r="I62" s="1200"/>
      <c r="J62" s="1200"/>
      <c r="K62" s="1200"/>
      <c r="L62" s="1224"/>
      <c r="M62" s="1207"/>
      <c r="N62" s="1207"/>
      <c r="P62" s="1202"/>
      <c r="Q62" s="1203"/>
      <c r="R62" s="1202"/>
      <c r="S62" s="1208"/>
      <c r="T62" s="1211" t="s">
        <v>1439</v>
      </c>
      <c r="U62" s="1210"/>
      <c r="V62" s="1210"/>
      <c r="W62" s="1210"/>
      <c r="X62" s="1210"/>
      <c r="Y62" s="1210"/>
      <c r="Z62" s="1210"/>
      <c r="AA62" s="1210"/>
      <c r="AB62" s="1210"/>
      <c r="AC62" s="1210"/>
      <c r="AD62" s="1210"/>
      <c r="AE62" s="1210"/>
      <c r="AF62" s="1210"/>
      <c r="AG62" s="1210"/>
      <c r="AH62" s="1210"/>
      <c r="AI62" s="1210"/>
      <c r="AJ62" s="1210"/>
      <c r="AK62" s="1210"/>
      <c r="AL62" s="1210"/>
      <c r="AM62" s="1210"/>
      <c r="AN62" s="1210"/>
      <c r="AO62" s="1210"/>
      <c r="AP62" s="1210"/>
      <c r="AQ62" s="1210"/>
      <c r="AR62" s="1210"/>
      <c r="AS62" s="1210"/>
      <c r="AT62" s="1210"/>
      <c r="AU62" s="1210"/>
      <c r="AW62" s="696"/>
      <c r="AX62" s="696" t="str">
        <f t="shared" si="3"/>
        <v>Добавить наименование тарифа</v>
      </c>
      <c r="AY62" s="696"/>
      <c r="AZ62" s="696"/>
    </row>
    <row r="63" spans="1:52" ht="11.25" hidden="1" customHeight="1">
      <c r="M63" s="1036"/>
      <c r="N63" s="1036"/>
      <c r="O63" s="464"/>
      <c r="P63" s="1036"/>
      <c r="Q63" s="1036"/>
      <c r="R63" s="1031"/>
      <c r="S63" s="1031"/>
      <c r="AV63" s="1031"/>
      <c r="AW63" s="1031"/>
      <c r="AX63" s="1031"/>
      <c r="AY63" s="1031"/>
      <c r="AZ63" s="1031"/>
    </row>
    <row r="64" spans="1:52" ht="18.75" hidden="1" customHeight="1">
      <c r="O64" s="464"/>
      <c r="S64" s="1128" t="s">
        <v>1509</v>
      </c>
      <c r="T64" s="2234" t="s">
        <v>1552</v>
      </c>
      <c r="U64" s="2234"/>
      <c r="V64" s="2234"/>
      <c r="W64" s="2234"/>
      <c r="X64" s="2234"/>
      <c r="Y64" s="2234"/>
      <c r="Z64" s="2234"/>
      <c r="AA64" s="2234"/>
      <c r="AB64" s="2234"/>
      <c r="AC64" s="2234"/>
      <c r="AD64" s="2234"/>
      <c r="AE64" s="2234"/>
      <c r="AF64" s="2234"/>
      <c r="AG64" s="2234"/>
      <c r="AH64" s="2234"/>
      <c r="AI64" s="2234"/>
      <c r="AJ64" s="2234"/>
      <c r="AK64" s="2234"/>
      <c r="AL64" s="2234"/>
      <c r="AM64" s="2234"/>
      <c r="AN64" s="2234"/>
      <c r="AO64" s="2234"/>
      <c r="AP64" s="2234"/>
      <c r="AQ64" s="2234"/>
      <c r="AR64" s="2234"/>
      <c r="AS64" s="2234"/>
      <c r="AT64" s="2234"/>
      <c r="AU64" s="2234"/>
    </row>
    <row r="65" spans="15:47" ht="19.5" hidden="1" customHeight="1">
      <c r="O65" s="464"/>
      <c r="T65" s="2234" t="s">
        <v>1535</v>
      </c>
      <c r="U65" s="2234"/>
      <c r="V65" s="2234"/>
      <c r="W65" s="2234"/>
      <c r="X65" s="2234"/>
      <c r="Y65" s="2234"/>
      <c r="Z65" s="2234"/>
      <c r="AA65" s="2234"/>
      <c r="AB65" s="2234"/>
      <c r="AC65" s="2234"/>
      <c r="AD65" s="2234"/>
      <c r="AE65" s="2234"/>
      <c r="AF65" s="2234"/>
      <c r="AG65" s="2234"/>
      <c r="AH65" s="2234"/>
      <c r="AI65" s="2234"/>
      <c r="AJ65" s="2234"/>
      <c r="AK65" s="2234"/>
      <c r="AL65" s="2234"/>
      <c r="AM65" s="2234"/>
      <c r="AN65" s="2234"/>
      <c r="AO65" s="2234"/>
      <c r="AP65" s="2234"/>
      <c r="AQ65" s="2234"/>
      <c r="AR65" s="2234"/>
      <c r="AS65" s="2234"/>
      <c r="AT65" s="2234"/>
      <c r="AU65" s="2234"/>
    </row>
    <row r="66" spans="15:47" ht="14.25" hidden="1" customHeight="1">
      <c r="O66" s="464"/>
      <c r="T66" s="1218"/>
      <c r="U66" s="1218"/>
      <c r="V66" s="1218"/>
      <c r="W66" s="1218"/>
      <c r="X66" s="1218"/>
      <c r="Y66" s="1218"/>
      <c r="Z66" s="1218"/>
      <c r="AA66" s="1218"/>
      <c r="AB66" s="1218"/>
      <c r="AC66" s="1218"/>
      <c r="AD66" s="1218"/>
      <c r="AE66" s="1218"/>
      <c r="AF66" s="1218"/>
      <c r="AG66" s="1218"/>
      <c r="AH66" s="1218"/>
      <c r="AI66" s="1218"/>
      <c r="AJ66" s="1218"/>
      <c r="AK66" s="1218"/>
      <c r="AL66" s="1218"/>
      <c r="AM66" s="1218"/>
      <c r="AN66" s="1218"/>
      <c r="AO66" s="1218"/>
      <c r="AP66" s="1218"/>
      <c r="AQ66" s="1218"/>
      <c r="AR66" s="1218"/>
      <c r="AS66" s="1218"/>
      <c r="AT66" s="1218"/>
      <c r="AU66" s="1218"/>
    </row>
    <row r="67" spans="15:47" ht="18.75" hidden="1" customHeight="1">
      <c r="O67" s="464"/>
      <c r="T67" s="2234" t="s">
        <v>1553</v>
      </c>
      <c r="U67" s="2234"/>
      <c r="V67" s="2234"/>
      <c r="W67" s="2234"/>
      <c r="X67" s="2234"/>
      <c r="Y67" s="2234"/>
      <c r="Z67" s="2234"/>
      <c r="AA67" s="2234"/>
      <c r="AB67" s="2234"/>
      <c r="AC67" s="2234"/>
      <c r="AD67" s="2234"/>
      <c r="AE67" s="2234"/>
      <c r="AF67" s="2234"/>
      <c r="AG67" s="2234"/>
      <c r="AH67" s="2234"/>
      <c r="AI67" s="2234"/>
      <c r="AJ67" s="2234"/>
      <c r="AK67" s="2234"/>
      <c r="AL67" s="2234"/>
      <c r="AM67" s="2234"/>
      <c r="AN67" s="2234"/>
      <c r="AO67" s="2234"/>
      <c r="AP67" s="2234"/>
      <c r="AQ67" s="2234"/>
      <c r="AR67" s="2234"/>
      <c r="AS67" s="2234"/>
      <c r="AT67" s="2234"/>
      <c r="AU67" s="2234"/>
    </row>
    <row r="68" spans="15:47" ht="15.75" hidden="1" customHeight="1">
      <c r="O68" s="464"/>
      <c r="T68" s="2234" t="s">
        <v>1535</v>
      </c>
      <c r="U68" s="2234"/>
      <c r="V68" s="2234"/>
      <c r="W68" s="2234"/>
      <c r="X68" s="2234"/>
      <c r="Y68" s="2234"/>
      <c r="Z68" s="2234"/>
      <c r="AA68" s="2234"/>
      <c r="AB68" s="2234"/>
      <c r="AC68" s="2234"/>
      <c r="AD68" s="2234"/>
      <c r="AE68" s="2234"/>
      <c r="AF68" s="2234"/>
      <c r="AG68" s="2234"/>
      <c r="AH68" s="2234"/>
      <c r="AI68" s="2234"/>
      <c r="AJ68" s="2234"/>
      <c r="AK68" s="2234"/>
      <c r="AL68" s="2234"/>
      <c r="AM68" s="2234"/>
      <c r="AN68" s="2234"/>
      <c r="AO68" s="2234"/>
      <c r="AP68" s="2234"/>
      <c r="AQ68" s="2234"/>
      <c r="AR68" s="2234"/>
      <c r="AS68" s="2234"/>
      <c r="AT68" s="2234"/>
      <c r="AU68" s="2234"/>
    </row>
    <row r="69" spans="15:47" ht="14.25" customHeight="1">
      <c r="O69" s="464"/>
    </row>
  </sheetData>
  <sheetProtection formatColumns="0" formatRows="0" insertRows="0" deleteColumns="0" deleteRows="0" sort="0" autoFilter="0"/>
  <mergeCells count="117">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Q43:AR43"/>
    <mergeCell ref="AN41:AO42"/>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s>
  <dataValidations count="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I4" workbookViewId="0"/>
  </sheetViews>
  <sheetFormatPr defaultColWidth="10.5703125" defaultRowHeight="14.25" customHeight="1"/>
  <cols>
    <col min="1" max="1" width="10.5703125" style="1759" hidden="1"/>
    <col min="2" max="2" width="11" style="1759" hidden="1" customWidth="1"/>
    <col min="3" max="3" width="10.5703125" style="1759" hidden="1"/>
    <col min="4" max="4" width="11.85546875" style="1759" hidden="1" customWidth="1"/>
    <col min="5" max="5" width="12.28515625" style="1759" hidden="1" customWidth="1"/>
    <col min="6" max="8" width="12.28515625" style="1686" hidden="1" customWidth="1"/>
    <col min="9" max="9" width="3.7109375" style="1740" customWidth="1"/>
    <col min="10" max="11" width="3.7109375" style="1677" customWidth="1"/>
    <col min="12" max="12" width="12.7109375" style="1727" customWidth="1"/>
    <col min="13" max="13" width="32" style="1846" customWidth="1"/>
    <col min="14" max="14" width="1.7109375" style="1846" customWidth="1"/>
    <col min="15" max="18" width="24.7109375" style="1846" customWidth="1"/>
    <col min="19" max="19" width="11.7109375" style="1846" customWidth="1"/>
    <col min="20" max="20" width="3.7109375" style="1846" customWidth="1"/>
    <col min="21" max="21" width="11.7109375" style="1846" customWidth="1"/>
    <col min="22" max="22" width="8.5703125" style="1846" customWidth="1"/>
    <col min="23" max="23" width="4.7109375" style="1846" customWidth="1"/>
    <col min="24" max="24" width="115.7109375" style="1846" customWidth="1"/>
    <col min="25" max="26" width="10.5703125" style="1772"/>
    <col min="27" max="27" width="11.140625" style="1772" customWidth="1"/>
    <col min="28" max="29" width="10.5703125" style="1772"/>
  </cols>
  <sheetData>
    <row r="1" spans="1:29" ht="14.25" hidden="1" customHeight="1">
      <c r="R1" s="254"/>
      <c r="S1" s="254"/>
    </row>
    <row r="2" spans="1:29" ht="14.25" hidden="1" customHeight="1">
      <c r="V2" s="254"/>
    </row>
    <row r="3" spans="1:29" ht="14.25" hidden="1" customHeight="1"/>
    <row r="4" spans="1:29" ht="14.25" customHeight="1">
      <c r="J4" s="304"/>
      <c r="K4" s="304"/>
      <c r="L4" s="1158"/>
      <c r="M4" s="289"/>
      <c r="N4" s="289"/>
      <c r="O4" s="437"/>
      <c r="P4" s="437"/>
      <c r="Q4" s="437"/>
      <c r="R4" s="437"/>
      <c r="S4" s="437"/>
      <c r="T4" s="437"/>
      <c r="U4" s="437"/>
      <c r="V4" s="437"/>
    </row>
    <row r="5" spans="1:29" ht="64.5" customHeight="1">
      <c r="J5" s="304"/>
      <c r="K5" s="304"/>
      <c r="L5" s="2079" t="s">
        <v>415</v>
      </c>
      <c r="M5" s="2079"/>
      <c r="N5" s="2079"/>
      <c r="O5" s="2079"/>
      <c r="P5" s="2079"/>
      <c r="Q5" s="2079"/>
      <c r="R5" s="2079"/>
      <c r="S5" s="2079"/>
      <c r="T5" s="2079"/>
      <c r="U5" s="2079"/>
      <c r="V5" s="1116"/>
    </row>
    <row r="6" spans="1:29" ht="14.25" customHeight="1">
      <c r="J6" s="304"/>
      <c r="K6" s="304"/>
      <c r="L6" s="2102" t="str">
        <f>IF(org=0,"Не определено",org)</f>
        <v>ООО "Автозаводская ТЭЦ"</v>
      </c>
      <c r="M6" s="2102"/>
      <c r="N6" s="2102"/>
      <c r="O6" s="2102"/>
      <c r="P6" s="2102"/>
      <c r="Q6" s="2102"/>
      <c r="R6" s="2102"/>
      <c r="S6" s="2102"/>
      <c r="T6" s="2102"/>
      <c r="U6" s="2102"/>
      <c r="V6" s="1116"/>
    </row>
    <row r="7" spans="1:29" ht="14.25" customHeight="1">
      <c r="J7" s="304"/>
      <c r="K7" s="304"/>
      <c r="L7" s="1158"/>
      <c r="M7" s="289"/>
      <c r="N7" s="289"/>
      <c r="O7" s="248"/>
      <c r="P7" s="248"/>
      <c r="Q7" s="248"/>
      <c r="R7" s="248"/>
      <c r="S7" s="248"/>
      <c r="T7" s="248"/>
      <c r="U7" s="248"/>
      <c r="V7" s="248"/>
      <c r="W7" s="437"/>
    </row>
    <row r="8" spans="1:29" s="1950" customFormat="1" ht="45" customHeight="1">
      <c r="A8" s="1249"/>
      <c r="B8" s="1249"/>
      <c r="C8" s="1249"/>
      <c r="D8" s="1249"/>
      <c r="E8" s="1249"/>
      <c r="F8" s="1249"/>
      <c r="G8" s="1249"/>
      <c r="H8" s="1249"/>
      <c r="L8" s="1159"/>
      <c r="M8" s="213" t="s">
        <v>38</v>
      </c>
      <c r="N8" s="222"/>
      <c r="O8" s="2228" t="str">
        <f>IF(TITLE_NAME_OR_PR_CHANGE="",IF(TITLE_NAME_OR_PR="","",TITLE_NAME_OR_PR),TITLE_NAME_OR_PR_CHANGE)</f>
        <v/>
      </c>
      <c r="P8" s="2228"/>
      <c r="Q8" s="2228"/>
      <c r="R8" s="2228"/>
      <c r="S8" s="2228"/>
      <c r="T8" s="2228"/>
      <c r="U8" s="2228"/>
      <c r="V8" s="253"/>
      <c r="W8" s="253"/>
      <c r="X8" s="199"/>
      <c r="Y8" s="295"/>
      <c r="Z8" s="295"/>
      <c r="AA8" s="295"/>
      <c r="AB8" s="295"/>
      <c r="AC8" s="295"/>
    </row>
    <row r="9" spans="1:29" s="1950" customFormat="1" ht="22.5" customHeight="1">
      <c r="A9" s="1249"/>
      <c r="B9" s="1249"/>
      <c r="C9" s="1249"/>
      <c r="D9" s="1249"/>
      <c r="E9" s="1249"/>
      <c r="F9" s="1249"/>
      <c r="G9" s="1249"/>
      <c r="H9" s="1249"/>
      <c r="L9" s="1159"/>
      <c r="M9" s="213" t="s">
        <v>1484</v>
      </c>
      <c r="N9" s="222"/>
      <c r="O9" s="2228" t="str">
        <f>IF(TITLE_DATE_CHANGE_PERIOD="",IF(TITLE_DATE_PR="","",TITLE_DATE_PR),TITLE_DATE_CHANGE_PERIOD)</f>
        <v/>
      </c>
      <c r="P9" s="2228"/>
      <c r="Q9" s="2228"/>
      <c r="R9" s="2228"/>
      <c r="S9" s="2228"/>
      <c r="T9" s="2228"/>
      <c r="U9" s="2228"/>
      <c r="V9" s="253"/>
      <c r="W9" s="253"/>
      <c r="X9" s="199"/>
      <c r="Y9" s="295"/>
      <c r="Z9" s="295"/>
      <c r="AA9" s="295"/>
      <c r="AB9" s="295"/>
      <c r="AC9" s="295"/>
    </row>
    <row r="10" spans="1:29" s="1950" customFormat="1" ht="22.5" customHeight="1">
      <c r="A10" s="1249"/>
      <c r="B10" s="1249"/>
      <c r="C10" s="1249"/>
      <c r="D10" s="1249"/>
      <c r="E10" s="1249"/>
      <c r="F10" s="1249"/>
      <c r="G10" s="1249"/>
      <c r="H10" s="1249"/>
      <c r="L10" s="1124"/>
      <c r="M10" s="213" t="s">
        <v>1485</v>
      </c>
      <c r="N10" s="222"/>
      <c r="O10" s="2228" t="str">
        <f>IF(TITLE_NUMBER_PR_CHANGE="",IF(TITLE_NUMBER_PR="","",TITLE_NUMBER_PR),TITLE_NUMBER_PR_CHANGE)</f>
        <v/>
      </c>
      <c r="P10" s="2228"/>
      <c r="Q10" s="2228"/>
      <c r="R10" s="2228"/>
      <c r="S10" s="2228"/>
      <c r="T10" s="2228"/>
      <c r="U10" s="2228"/>
      <c r="V10" s="253"/>
      <c r="W10" s="253"/>
      <c r="X10" s="199"/>
      <c r="Y10" s="295"/>
      <c r="Z10" s="295"/>
      <c r="AA10" s="295"/>
      <c r="AB10" s="295"/>
      <c r="AC10" s="295"/>
    </row>
    <row r="11" spans="1:29" s="1950" customFormat="1" ht="22.5" customHeight="1">
      <c r="A11" s="1249"/>
      <c r="B11" s="1249"/>
      <c r="C11" s="1249"/>
      <c r="D11" s="1249"/>
      <c r="E11" s="1249"/>
      <c r="F11" s="1249"/>
      <c r="G11" s="1249"/>
      <c r="H11" s="1249"/>
      <c r="L11" s="1124"/>
      <c r="M11" s="213" t="s">
        <v>39</v>
      </c>
      <c r="N11" s="222"/>
      <c r="O11" s="2228" t="str">
        <f>IF(TITLE_IST_PUB_CHANGE="",IF(TITLE_IST_PUB="","",TITLE_IST_PUB),TITLE_IST_PUB_CHANGE)</f>
        <v/>
      </c>
      <c r="P11" s="2228"/>
      <c r="Q11" s="2228"/>
      <c r="R11" s="2228"/>
      <c r="S11" s="2228"/>
      <c r="T11" s="2228"/>
      <c r="U11" s="2228"/>
      <c r="V11" s="253"/>
      <c r="W11" s="253"/>
      <c r="X11" s="199"/>
      <c r="Y11" s="295"/>
      <c r="Z11" s="295"/>
      <c r="AA11" s="295"/>
      <c r="AB11" s="295"/>
      <c r="AC11" s="295"/>
    </row>
    <row r="12" spans="1:29" s="1950" customFormat="1" ht="11.25" hidden="1" customHeight="1">
      <c r="A12" s="1249"/>
      <c r="B12" s="1249"/>
      <c r="C12" s="1249"/>
      <c r="D12" s="1249"/>
      <c r="E12" s="1249"/>
      <c r="F12" s="1249"/>
      <c r="G12" s="1249"/>
      <c r="H12" s="1249"/>
      <c r="L12" s="2296"/>
      <c r="M12" s="2296"/>
      <c r="N12" s="1169"/>
      <c r="O12" s="253"/>
      <c r="P12" s="253"/>
      <c r="Q12" s="253"/>
      <c r="R12" s="253"/>
      <c r="S12" s="253"/>
      <c r="T12" s="253"/>
      <c r="U12" s="253"/>
      <c r="V12" s="197" t="s">
        <v>1488</v>
      </c>
      <c r="Y12" s="295"/>
      <c r="Z12" s="295"/>
      <c r="AA12" s="295"/>
      <c r="AB12" s="295"/>
      <c r="AC12" s="295"/>
    </row>
    <row r="13" spans="1:29" ht="14.25" customHeight="1">
      <c r="J13" s="304"/>
      <c r="K13" s="304"/>
      <c r="L13" s="1158"/>
      <c r="M13" s="289"/>
      <c r="N13" s="1117"/>
      <c r="O13" s="2246"/>
      <c r="P13" s="2246"/>
      <c r="Q13" s="2246"/>
      <c r="R13" s="2246"/>
      <c r="S13" s="2246"/>
      <c r="T13" s="2246"/>
      <c r="U13" s="2246"/>
      <c r="V13" s="2246"/>
    </row>
    <row r="14" spans="1:29" ht="14.25" customHeight="1">
      <c r="J14" s="304"/>
      <c r="K14" s="304"/>
      <c r="L14" s="2021" t="s">
        <v>292</v>
      </c>
      <c r="M14" s="2021"/>
      <c r="N14" s="2021"/>
      <c r="O14" s="2021"/>
      <c r="P14" s="2021"/>
      <c r="Q14" s="2021"/>
      <c r="R14" s="2021"/>
      <c r="S14" s="2021"/>
      <c r="T14" s="2021"/>
      <c r="U14" s="2021"/>
      <c r="V14" s="2021"/>
      <c r="W14" s="2021"/>
      <c r="X14" s="2021" t="s">
        <v>293</v>
      </c>
    </row>
    <row r="15" spans="1:29" ht="14.25" customHeight="1">
      <c r="J15" s="304"/>
      <c r="K15" s="304"/>
      <c r="L15" s="2247" t="s">
        <v>88</v>
      </c>
      <c r="M15" s="2111" t="s">
        <v>1489</v>
      </c>
      <c r="N15" s="219"/>
      <c r="O15" s="2248" t="s">
        <v>1554</v>
      </c>
      <c r="P15" s="2249"/>
      <c r="Q15" s="2249"/>
      <c r="R15" s="2249"/>
      <c r="S15" s="2249"/>
      <c r="T15" s="2249"/>
      <c r="U15" s="2250"/>
      <c r="V15" s="2251" t="s">
        <v>1491</v>
      </c>
      <c r="W15" s="2254" t="s">
        <v>1555</v>
      </c>
      <c r="X15" s="2021"/>
    </row>
    <row r="16" spans="1:29" ht="33.75" customHeight="1">
      <c r="J16" s="304"/>
      <c r="K16" s="304"/>
      <c r="L16" s="2247"/>
      <c r="M16" s="2111"/>
      <c r="N16" s="924"/>
      <c r="O16" s="2080" t="s">
        <v>1494</v>
      </c>
      <c r="P16" s="2080" t="s">
        <v>1495</v>
      </c>
      <c r="Q16" s="2003" t="s">
        <v>1496</v>
      </c>
      <c r="R16" s="2002"/>
      <c r="S16" s="2003" t="s">
        <v>1515</v>
      </c>
      <c r="T16" s="2008"/>
      <c r="U16" s="2002"/>
      <c r="V16" s="2252"/>
      <c r="W16" s="2255"/>
      <c r="X16" s="2021"/>
    </row>
    <row r="17" spans="1:29" ht="33.75" customHeight="1">
      <c r="A17" s="1251" t="s">
        <v>135</v>
      </c>
      <c r="B17" s="1251" t="s">
        <v>136</v>
      </c>
      <c r="C17" s="1251" t="s">
        <v>137</v>
      </c>
      <c r="D17" s="1251" t="s">
        <v>138</v>
      </c>
      <c r="E17" s="1251"/>
      <c r="J17" s="304"/>
      <c r="K17" s="304"/>
      <c r="L17" s="2247"/>
      <c r="M17" s="2111"/>
      <c r="N17" s="220"/>
      <c r="O17" s="2136"/>
      <c r="P17" s="2136"/>
      <c r="Q17" s="1092" t="s">
        <v>1505</v>
      </c>
      <c r="R17" s="1092" t="s">
        <v>1506</v>
      </c>
      <c r="S17" s="1174" t="s">
        <v>1507</v>
      </c>
      <c r="T17" s="2117" t="s">
        <v>1508</v>
      </c>
      <c r="U17" s="2131"/>
      <c r="V17" s="2253"/>
      <c r="W17" s="2256"/>
      <c r="X17" s="2021"/>
    </row>
    <row r="18" spans="1:29" s="1720" customFormat="1" ht="11.25" customHeight="1">
      <c r="A18" s="1251"/>
      <c r="B18" s="1251"/>
      <c r="C18" s="1251"/>
      <c r="D18" s="1251"/>
      <c r="E18" s="1251"/>
      <c r="F18" s="1243"/>
      <c r="G18" s="1243"/>
      <c r="H18" s="1243"/>
      <c r="I18" s="1119"/>
      <c r="J18" s="1120"/>
      <c r="K18" s="1135">
        <v>1</v>
      </c>
      <c r="L18" s="1160" t="s">
        <v>109</v>
      </c>
      <c r="M18" s="1136" t="s">
        <v>110</v>
      </c>
      <c r="N18" s="1118" t="str">
        <f ca="1">OFFSET(N18,0,-1)</f>
        <v>2</v>
      </c>
      <c r="O18" s="1171">
        <f ca="1">OFFSET(O18,0,-1)+1</f>
        <v>3</v>
      </c>
      <c r="P18" s="1171"/>
      <c r="Q18" s="1171">
        <f ca="1">OFFSET(Q18,0,-1)+1</f>
        <v>1</v>
      </c>
      <c r="R18" s="1171">
        <f ca="1">OFFSET(R18,0,-1)+1</f>
        <v>2</v>
      </c>
      <c r="S18" s="1171">
        <f ca="1">OFFSET(S18,0,-1)+1</f>
        <v>3</v>
      </c>
      <c r="T18" s="2245">
        <f ca="1">OFFSET(T18,0,-1)+1</f>
        <v>4</v>
      </c>
      <c r="U18" s="2245"/>
      <c r="V18" s="1171">
        <f ca="1">OFFSET(V18,0,-2)+1</f>
        <v>5</v>
      </c>
      <c r="W18" s="1118">
        <f ca="1">OFFSET(W18,0,-1)</f>
        <v>5</v>
      </c>
      <c r="X18" s="1171">
        <f ca="1">OFFSET(X18,0,-1)+1</f>
        <v>6</v>
      </c>
      <c r="Y18" s="439"/>
      <c r="Z18" s="439"/>
      <c r="AA18" s="439"/>
      <c r="AB18" s="439"/>
      <c r="AC18" s="439"/>
    </row>
    <row r="19" spans="1:29" ht="21" customHeight="1">
      <c r="A19" s="1244" t="s">
        <v>171</v>
      </c>
      <c r="B19" s="1244" t="s">
        <v>172</v>
      </c>
      <c r="C19" s="1244" t="s">
        <v>173</v>
      </c>
      <c r="D19" s="1244" t="s">
        <v>174</v>
      </c>
      <c r="E19" s="1244"/>
      <c r="F19" s="1246"/>
      <c r="G19" s="1246"/>
      <c r="H19" s="1246"/>
      <c r="I19" s="285"/>
      <c r="J19" s="284"/>
      <c r="K19" s="279"/>
      <c r="L19" s="1175">
        <f>INDEX(PT_DIFFERENTIATION_NUM_NTAR,MATCH(A19,PT_DIFFERENTIATION_NTAR_ID,0))</f>
        <v>0</v>
      </c>
      <c r="M19" s="216" t="s">
        <v>124</v>
      </c>
      <c r="N19" s="218"/>
      <c r="O19" s="2291" t="str">
        <f>INDEX(PT_DIFFERENTIATION_NTAR,MATCH(A19,PT_DIFFERENTIATION_NTAR_ID,0))</f>
        <v/>
      </c>
      <c r="P19" s="2291"/>
      <c r="Q19" s="2291"/>
      <c r="R19" s="2291"/>
      <c r="S19" s="2291"/>
      <c r="T19" s="2291"/>
      <c r="U19" s="2291"/>
      <c r="V19" s="2291"/>
      <c r="W19" s="2291"/>
      <c r="X19" s="1140" t="s">
        <v>1460</v>
      </c>
      <c r="Z19" s="428"/>
      <c r="AA19" s="428" t="str">
        <f t="shared" ref="AA19:AA32" si="0">IF(M19="","",M19)</f>
        <v>Наименование тарифа</v>
      </c>
      <c r="AB19" s="428"/>
      <c r="AC19" s="428"/>
    </row>
    <row r="20" spans="1:29" ht="21" customHeight="1">
      <c r="A20" s="1244" t="s">
        <v>171</v>
      </c>
      <c r="B20" s="1244" t="s">
        <v>172</v>
      </c>
      <c r="C20" s="1244" t="s">
        <v>173</v>
      </c>
      <c r="D20" s="1244" t="s">
        <v>174</v>
      </c>
      <c r="E20" s="1244"/>
      <c r="F20" s="1246"/>
      <c r="G20" s="1246"/>
      <c r="H20" s="1246"/>
      <c r="I20" s="1172"/>
      <c r="J20" s="276"/>
      <c r="K20" s="277"/>
      <c r="L20" s="1175" t="str">
        <f>INDEX(PT_DIFFERENTIATION_NUM_TER,MATCH(B19,PT_DIFFERENTIATION_TER_ID,0))</f>
        <v>.</v>
      </c>
      <c r="M20" s="228" t="s">
        <v>1461</v>
      </c>
      <c r="N20" s="218"/>
      <c r="O20" s="2291" t="str">
        <f>INDEX(PT_DIFFERENTIATION_TER,MATCH(B19,PT_DIFFERENTIATION_TER_ID,0))</f>
        <v/>
      </c>
      <c r="P20" s="2291"/>
      <c r="Q20" s="2291"/>
      <c r="R20" s="2291"/>
      <c r="S20" s="2291"/>
      <c r="T20" s="2291"/>
      <c r="U20" s="2291"/>
      <c r="V20" s="2291"/>
      <c r="W20" s="2291"/>
      <c r="X20" s="1140" t="s">
        <v>1462</v>
      </c>
      <c r="Z20" s="428"/>
      <c r="AA20" s="428" t="str">
        <f t="shared" si="0"/>
        <v>Территория действия тарифа</v>
      </c>
      <c r="AB20" s="428"/>
      <c r="AC20" s="428"/>
    </row>
    <row r="21" spans="1:29" ht="22.5" customHeight="1">
      <c r="A21" s="1244" t="s">
        <v>171</v>
      </c>
      <c r="B21" s="1244" t="s">
        <v>172</v>
      </c>
      <c r="C21" s="1244" t="s">
        <v>173</v>
      </c>
      <c r="D21" s="1244" t="s">
        <v>174</v>
      </c>
      <c r="E21" s="1244"/>
      <c r="F21" s="1246"/>
      <c r="G21" s="1246"/>
      <c r="H21" s="1246"/>
      <c r="I21" s="278"/>
      <c r="J21" s="276"/>
      <c r="K21" s="277"/>
      <c r="L21" s="1175" t="str">
        <f>INDEX(PT_DIFFERENTIATION_NUM_CS,MATCH(C19,PT_DIFFERENTIATION_CS_ID,0))</f>
        <v>..</v>
      </c>
      <c r="M21" s="229" t="s">
        <v>1463</v>
      </c>
      <c r="N21" s="218"/>
      <c r="O21" s="2291" t="str">
        <f>INDEX(PT_DIFFERENTIATION_CS,MATCH(C19,PT_DIFFERENTIATION_CS_ID,0))</f>
        <v/>
      </c>
      <c r="P21" s="2291"/>
      <c r="Q21" s="2291"/>
      <c r="R21" s="2291"/>
      <c r="S21" s="2291"/>
      <c r="T21" s="2291"/>
      <c r="U21" s="2291"/>
      <c r="V21" s="2291"/>
      <c r="W21" s="2291"/>
      <c r="X21" s="1140" t="s">
        <v>1464</v>
      </c>
      <c r="Z21" s="428"/>
      <c r="AA21" s="428" t="str">
        <f t="shared" si="0"/>
        <v xml:space="preserve">Наименование системы теплоснабжения </v>
      </c>
      <c r="AB21" s="428"/>
      <c r="AC21" s="428"/>
    </row>
    <row r="22" spans="1:29" ht="21" customHeight="1">
      <c r="A22" s="1244" t="s">
        <v>171</v>
      </c>
      <c r="B22" s="1244" t="s">
        <v>172</v>
      </c>
      <c r="C22" s="1244" t="s">
        <v>173</v>
      </c>
      <c r="D22" s="1244" t="s">
        <v>174</v>
      </c>
      <c r="E22" s="1244"/>
      <c r="F22" s="1246"/>
      <c r="G22" s="1246"/>
      <c r="H22" s="1246"/>
      <c r="I22" s="278"/>
      <c r="J22" s="276"/>
      <c r="K22" s="277"/>
      <c r="L22" s="1175" t="str">
        <f>INDEX(PT_DIFFERENTIATION_NUM_IST_TE,MATCH(D19,PT_DIFFERENTIATION_IST_TE_ID,0))</f>
        <v>...</v>
      </c>
      <c r="M22" s="230" t="s">
        <v>1465</v>
      </c>
      <c r="N22" s="218"/>
      <c r="O22" s="2291" t="str">
        <f>INDEX(PT_DIFFERENTIATION_IST_TE,MATCH(D19,PT_DIFFERENTIATION_IST_TE_ID,0))</f>
        <v/>
      </c>
      <c r="P22" s="2291"/>
      <c r="Q22" s="2291"/>
      <c r="R22" s="2291"/>
      <c r="S22" s="2291"/>
      <c r="T22" s="2291"/>
      <c r="U22" s="2291"/>
      <c r="V22" s="2291"/>
      <c r="W22" s="2291"/>
      <c r="X22" s="1140" t="s">
        <v>1466</v>
      </c>
      <c r="Z22" s="428"/>
      <c r="AA22" s="428" t="str">
        <f t="shared" si="0"/>
        <v xml:space="preserve">Источник тепловой энергии  </v>
      </c>
      <c r="AB22" s="428"/>
      <c r="AC22" s="428"/>
    </row>
    <row r="23" spans="1:29" ht="94.5" customHeight="1">
      <c r="A23" s="1244" t="s">
        <v>171</v>
      </c>
      <c r="B23" s="1244" t="s">
        <v>172</v>
      </c>
      <c r="C23" s="1244" t="s">
        <v>173</v>
      </c>
      <c r="D23" s="1244" t="s">
        <v>174</v>
      </c>
      <c r="E23" s="1244"/>
      <c r="F23" s="2129" t="str">
        <f>L22&amp;".1"</f>
        <v>....1</v>
      </c>
      <c r="I23" s="2157">
        <v>1</v>
      </c>
      <c r="J23" s="1173"/>
      <c r="K23" s="280"/>
      <c r="L23" s="1175" t="str">
        <f>$F$23</f>
        <v>....1</v>
      </c>
      <c r="M23" s="203" t="s">
        <v>1468</v>
      </c>
      <c r="N23" s="218"/>
      <c r="O23" s="2292"/>
      <c r="P23" s="2292"/>
      <c r="Q23" s="2292"/>
      <c r="R23" s="2292"/>
      <c r="S23" s="2292"/>
      <c r="T23" s="2292"/>
      <c r="U23" s="2292"/>
      <c r="V23" s="2292"/>
      <c r="W23" s="2292"/>
      <c r="X23" s="1140" t="s">
        <v>1469</v>
      </c>
      <c r="Z23" s="428"/>
      <c r="AA23" s="428" t="str">
        <f t="shared" si="0"/>
        <v>Схема подключения теплопотребляющей установки к коллектору источника тепловой энергии</v>
      </c>
      <c r="AB23" s="428"/>
      <c r="AC23" s="428"/>
    </row>
    <row r="24" spans="1:29" ht="84" customHeight="1">
      <c r="A24" s="1244" t="s">
        <v>171</v>
      </c>
      <c r="B24" s="1244" t="s">
        <v>172</v>
      </c>
      <c r="C24" s="1244" t="s">
        <v>173</v>
      </c>
      <c r="D24" s="1244" t="s">
        <v>174</v>
      </c>
      <c r="E24" s="1244"/>
      <c r="F24" s="2129"/>
      <c r="G24" s="2129" t="str">
        <f>F23&amp;".1"</f>
        <v>....1.1</v>
      </c>
      <c r="I24" s="2157"/>
      <c r="J24" s="2157">
        <v>1</v>
      </c>
      <c r="K24" s="281"/>
      <c r="L24" s="1175" t="str">
        <f>$G$24</f>
        <v>....1.1</v>
      </c>
      <c r="M24" s="204" t="s">
        <v>1471</v>
      </c>
      <c r="N24" s="218"/>
      <c r="O24" s="2293"/>
      <c r="P24" s="2294"/>
      <c r="Q24" s="2294"/>
      <c r="R24" s="2294"/>
      <c r="S24" s="2294"/>
      <c r="T24" s="2294"/>
      <c r="U24" s="2294"/>
      <c r="V24" s="2294"/>
      <c r="W24" s="2295"/>
      <c r="X24" s="1140" t="s">
        <v>1472</v>
      </c>
      <c r="Z24" s="428"/>
      <c r="AA24" s="428" t="str">
        <f t="shared" si="0"/>
        <v>Группа потребителей</v>
      </c>
      <c r="AB24" s="428"/>
      <c r="AC24" s="428"/>
    </row>
    <row r="25" spans="1:29" ht="11.25" customHeight="1">
      <c r="A25" s="1244" t="s">
        <v>171</v>
      </c>
      <c r="B25" s="1244" t="s">
        <v>172</v>
      </c>
      <c r="C25" s="1244" t="s">
        <v>173</v>
      </c>
      <c r="D25" s="1244" t="s">
        <v>174</v>
      </c>
      <c r="E25" s="1244"/>
      <c r="F25" s="2129"/>
      <c r="G25" s="2129"/>
      <c r="H25" s="2129" t="str">
        <f>G24&amp;".1"</f>
        <v>....1.1.1</v>
      </c>
      <c r="I25" s="2157"/>
      <c r="J25" s="2157"/>
      <c r="K25" s="281">
        <v>1</v>
      </c>
      <c r="L25" s="1175" t="str">
        <f>$H$25</f>
        <v>....1.1.1</v>
      </c>
      <c r="M25" s="1141"/>
      <c r="N25" s="218"/>
      <c r="O25" s="1667"/>
      <c r="P25" s="1668"/>
      <c r="Q25" s="1667"/>
      <c r="R25" s="1669"/>
      <c r="S25" s="2239"/>
      <c r="T25" s="2031" t="s">
        <v>66</v>
      </c>
      <c r="U25" s="2239"/>
      <c r="V25" s="2031" t="s">
        <v>56</v>
      </c>
      <c r="W25" s="1668"/>
      <c r="X25" s="2257" t="s">
        <v>1474</v>
      </c>
      <c r="Y25" s="439" t="e">
        <f ca="1">STRCHECKDATE(O26:W26)</f>
        <v>#NAME?</v>
      </c>
      <c r="Z25" s="428"/>
      <c r="AA25" s="428" t="str">
        <f t="shared" si="0"/>
        <v/>
      </c>
      <c r="AB25" s="428"/>
      <c r="AC25" s="428"/>
    </row>
    <row r="26" spans="1:29" ht="11.25" customHeight="1">
      <c r="A26" s="1244" t="s">
        <v>171</v>
      </c>
      <c r="B26" s="1244" t="s">
        <v>172</v>
      </c>
      <c r="C26" s="1244" t="s">
        <v>173</v>
      </c>
      <c r="D26" s="1244" t="s">
        <v>174</v>
      </c>
      <c r="E26" s="1244"/>
      <c r="F26" s="2129"/>
      <c r="G26" s="2129"/>
      <c r="H26" s="2129"/>
      <c r="I26" s="2157"/>
      <c r="J26" s="2157"/>
      <c r="K26" s="281"/>
      <c r="L26" s="1176"/>
      <c r="M26" s="218"/>
      <c r="N26" s="218"/>
      <c r="O26" s="1668"/>
      <c r="P26" s="1668"/>
      <c r="Q26" s="1668"/>
      <c r="R26" s="1670" t="str">
        <f>S25&amp;"-"&amp;U25</f>
        <v>-</v>
      </c>
      <c r="S26" s="2240"/>
      <c r="T26" s="2031"/>
      <c r="U26" s="2240"/>
      <c r="V26" s="2031"/>
      <c r="W26" s="1668"/>
      <c r="X26" s="2258"/>
      <c r="Z26" s="428"/>
      <c r="AA26" s="428" t="str">
        <f t="shared" si="0"/>
        <v/>
      </c>
      <c r="AB26" s="428"/>
      <c r="AC26" s="428"/>
    </row>
    <row r="27" spans="1:29" ht="15" customHeight="1">
      <c r="A27" s="1244" t="s">
        <v>171</v>
      </c>
      <c r="B27" s="1244" t="s">
        <v>172</v>
      </c>
      <c r="C27" s="1244" t="s">
        <v>173</v>
      </c>
      <c r="D27" s="1244" t="s">
        <v>174</v>
      </c>
      <c r="E27" s="1244"/>
      <c r="F27" s="2129"/>
      <c r="G27" s="2129"/>
      <c r="I27" s="2157"/>
      <c r="J27" s="2157"/>
      <c r="K27" s="280"/>
      <c r="L27" s="1161"/>
      <c r="M27" s="206" t="s">
        <v>1475</v>
      </c>
      <c r="N27" s="294"/>
      <c r="O27" s="294"/>
      <c r="P27" s="294"/>
      <c r="Q27" s="294"/>
      <c r="R27" s="294"/>
      <c r="S27" s="294"/>
      <c r="T27" s="294"/>
      <c r="U27" s="294"/>
      <c r="V27" s="294"/>
      <c r="W27" s="251"/>
      <c r="X27" s="2259"/>
      <c r="Z27" s="428"/>
      <c r="AA27" s="428" t="str">
        <f t="shared" si="0"/>
        <v>Добавить вид теплоносителя (параметры теплоносителя)</v>
      </c>
      <c r="AB27" s="428"/>
      <c r="AC27" s="428"/>
    </row>
    <row r="28" spans="1:29" ht="15" customHeight="1">
      <c r="A28" s="1244" t="s">
        <v>171</v>
      </c>
      <c r="B28" s="1244" t="s">
        <v>172</v>
      </c>
      <c r="C28" s="1244" t="s">
        <v>173</v>
      </c>
      <c r="D28" s="1244" t="s">
        <v>174</v>
      </c>
      <c r="E28" s="1244"/>
      <c r="F28" s="2129"/>
      <c r="I28" s="2157"/>
      <c r="J28" s="1173"/>
      <c r="K28" s="280"/>
      <c r="L28" s="1161"/>
      <c r="M28" s="205" t="s">
        <v>1476</v>
      </c>
      <c r="N28" s="294"/>
      <c r="O28" s="294"/>
      <c r="P28" s="294"/>
      <c r="Q28" s="294"/>
      <c r="R28" s="294"/>
      <c r="S28" s="294"/>
      <c r="T28" s="294"/>
      <c r="U28" s="294"/>
      <c r="V28" s="293"/>
      <c r="W28" s="294"/>
      <c r="X28" s="221"/>
      <c r="Z28" s="428"/>
      <c r="AA28" s="428" t="str">
        <f t="shared" si="0"/>
        <v>Добавить группу потребителей</v>
      </c>
      <c r="AB28" s="428"/>
      <c r="AC28" s="428"/>
    </row>
    <row r="29" spans="1:29" ht="14.25" customHeight="1">
      <c r="A29" s="1244" t="s">
        <v>171</v>
      </c>
      <c r="B29" s="1244" t="s">
        <v>172</v>
      </c>
      <c r="C29" s="1244" t="s">
        <v>173</v>
      </c>
      <c r="D29" s="1244" t="s">
        <v>174</v>
      </c>
      <c r="E29" s="1244"/>
      <c r="F29" s="1246"/>
      <c r="G29" s="1246"/>
      <c r="H29" s="464"/>
      <c r="I29" s="284"/>
      <c r="J29" s="303"/>
      <c r="K29" s="279"/>
      <c r="L29" s="1161"/>
      <c r="M29" s="291" t="s">
        <v>1477</v>
      </c>
      <c r="N29" s="294"/>
      <c r="O29" s="294"/>
      <c r="P29" s="294"/>
      <c r="Q29" s="294"/>
      <c r="R29" s="294"/>
      <c r="S29" s="294"/>
      <c r="T29" s="294"/>
      <c r="U29" s="294"/>
      <c r="V29" s="293"/>
      <c r="W29" s="294"/>
      <c r="X29" s="221"/>
      <c r="Z29" s="428"/>
      <c r="AA29" s="428" t="str">
        <f t="shared" si="0"/>
        <v>Добавить схему подключения</v>
      </c>
      <c r="AB29" s="428"/>
      <c r="AC29" s="428"/>
    </row>
    <row r="30" spans="1:29" ht="14.25" customHeight="1">
      <c r="A30" s="1244" t="s">
        <v>171</v>
      </c>
      <c r="B30" s="1244" t="s">
        <v>172</v>
      </c>
      <c r="C30" s="1244" t="s">
        <v>173</v>
      </c>
      <c r="D30" s="1244"/>
      <c r="E30" s="1244" t="s">
        <v>1556</v>
      </c>
      <c r="F30" s="1246"/>
      <c r="G30" s="1246"/>
      <c r="H30" s="464"/>
      <c r="I30" s="284"/>
      <c r="J30" s="303"/>
      <c r="K30" s="279"/>
      <c r="L30" s="1162"/>
      <c r="M30" s="1151"/>
      <c r="N30" s="1152"/>
      <c r="O30" s="1152"/>
      <c r="P30" s="1152"/>
      <c r="Q30" s="1152"/>
      <c r="R30" s="1152"/>
      <c r="S30" s="1152"/>
      <c r="T30" s="1152"/>
      <c r="U30" s="1152"/>
      <c r="V30" s="1153"/>
      <c r="W30" s="1152"/>
      <c r="X30" s="1154"/>
      <c r="Z30" s="428"/>
      <c r="AA30" s="428" t="str">
        <f t="shared" si="0"/>
        <v/>
      </c>
      <c r="AB30" s="428"/>
      <c r="AC30" s="428"/>
    </row>
    <row r="31" spans="1:29" ht="14.25" customHeight="1">
      <c r="A31" s="1244" t="s">
        <v>171</v>
      </c>
      <c r="B31" s="1244" t="s">
        <v>172</v>
      </c>
      <c r="C31" s="1244"/>
      <c r="D31" s="1244"/>
      <c r="E31" s="1244" t="s">
        <v>1557</v>
      </c>
      <c r="F31" s="1382"/>
      <c r="G31" s="1382"/>
      <c r="H31" s="464"/>
      <c r="I31" s="282"/>
      <c r="J31" s="303"/>
      <c r="K31" s="283"/>
      <c r="L31" s="1162"/>
      <c r="M31" s="1155"/>
      <c r="N31" s="1152"/>
      <c r="O31" s="1152"/>
      <c r="P31" s="1152"/>
      <c r="Q31" s="1152"/>
      <c r="R31" s="1152"/>
      <c r="S31" s="1152"/>
      <c r="T31" s="1152"/>
      <c r="U31" s="1152"/>
      <c r="V31" s="1153"/>
      <c r="W31" s="1152"/>
      <c r="X31" s="1154"/>
      <c r="Z31" s="428"/>
      <c r="AA31" s="428" t="str">
        <f t="shared" si="0"/>
        <v/>
      </c>
      <c r="AB31" s="428"/>
      <c r="AC31" s="428"/>
    </row>
    <row r="32" spans="1:29" ht="14.25" customHeight="1">
      <c r="A32" s="1244" t="s">
        <v>1558</v>
      </c>
      <c r="B32" s="1244"/>
      <c r="C32" s="1244"/>
      <c r="D32" s="1244"/>
      <c r="E32" s="1244" t="s">
        <v>104</v>
      </c>
      <c r="F32" s="1382"/>
      <c r="G32" s="1382"/>
      <c r="H32" s="464"/>
      <c r="I32" s="284"/>
      <c r="J32" s="303"/>
      <c r="K32" s="279"/>
      <c r="L32" s="1162"/>
      <c r="M32" s="1156"/>
      <c r="N32" s="1152"/>
      <c r="O32" s="1152"/>
      <c r="P32" s="1152"/>
      <c r="Q32" s="1152"/>
      <c r="R32" s="1152"/>
      <c r="S32" s="1152"/>
      <c r="T32" s="1152"/>
      <c r="U32" s="1152"/>
      <c r="V32" s="1153"/>
      <c r="W32" s="1152"/>
      <c r="X32" s="1154"/>
      <c r="Z32" s="428"/>
      <c r="AA32" s="428" t="str">
        <f t="shared" si="0"/>
        <v/>
      </c>
      <c r="AB32" s="428"/>
      <c r="AC32" s="428"/>
    </row>
    <row r="33" spans="1:29" s="1753" customFormat="1" ht="11.25" customHeight="1">
      <c r="A33" s="1244"/>
      <c r="B33" s="1244"/>
      <c r="C33" s="1244"/>
      <c r="D33" s="1244"/>
      <c r="E33" s="1244" t="s">
        <v>1439</v>
      </c>
      <c r="F33" s="1383"/>
      <c r="G33" s="1384"/>
      <c r="H33" s="464"/>
      <c r="L33" s="1163"/>
      <c r="M33" s="1157"/>
      <c r="N33" s="1152"/>
      <c r="O33" s="1152"/>
      <c r="P33" s="1152"/>
      <c r="Q33" s="1152"/>
      <c r="R33" s="1152"/>
      <c r="S33" s="1152"/>
      <c r="T33" s="1152"/>
      <c r="U33" s="1152"/>
      <c r="V33" s="1153"/>
      <c r="W33" s="1152"/>
      <c r="X33" s="1154"/>
      <c r="Y33" s="309"/>
      <c r="Z33" s="309"/>
      <c r="AA33" s="309"/>
      <c r="AB33" s="309"/>
      <c r="AC33" s="309"/>
    </row>
    <row r="34" spans="1:29" ht="11.25" customHeight="1">
      <c r="F34" s="1036"/>
      <c r="G34" s="1036"/>
      <c r="H34" s="464"/>
      <c r="I34" s="1031"/>
      <c r="J34" s="1031"/>
      <c r="K34" s="1031"/>
      <c r="Y34" s="1031"/>
      <c r="Z34" s="1031"/>
      <c r="AA34" s="1031"/>
      <c r="AB34" s="1031"/>
      <c r="AC34" s="1031"/>
    </row>
    <row r="35" spans="1:29" ht="27" customHeight="1">
      <c r="H35" s="464"/>
      <c r="L35" s="1170" t="s">
        <v>1509</v>
      </c>
      <c r="M35" s="2234" t="s">
        <v>1516</v>
      </c>
      <c r="N35" s="2234"/>
      <c r="O35" s="2234"/>
      <c r="P35" s="2234"/>
      <c r="Q35" s="2234"/>
      <c r="R35" s="2234"/>
      <c r="S35" s="2234"/>
      <c r="T35" s="2234"/>
      <c r="U35" s="2234"/>
      <c r="V35" s="2234"/>
      <c r="W35" s="2234"/>
      <c r="X35" s="2234"/>
    </row>
    <row r="36" spans="1:29" ht="104.25" customHeight="1">
      <c r="H36" s="464"/>
      <c r="I36" s="1189"/>
      <c r="M36" s="2234" t="s">
        <v>1511</v>
      </c>
      <c r="N36" s="2234"/>
      <c r="O36" s="2234"/>
      <c r="P36" s="2234"/>
      <c r="Q36" s="2234"/>
      <c r="R36" s="2234"/>
      <c r="S36" s="2234"/>
      <c r="T36" s="2234"/>
      <c r="U36" s="2234"/>
      <c r="V36" s="2234"/>
      <c r="W36" s="2234"/>
      <c r="X36" s="2234"/>
    </row>
    <row r="37" spans="1:29" ht="14.25" customHeight="1">
      <c r="H37" s="464"/>
    </row>
    <row r="38" spans="1:29" ht="14.25" customHeight="1">
      <c r="H38" s="464"/>
    </row>
    <row r="39" spans="1:29" ht="14.25" customHeight="1">
      <c r="H39" s="464"/>
    </row>
    <row r="40" spans="1:29" ht="14.25" customHeight="1">
      <c r="H40" s="464"/>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A4" workbookViewId="0"/>
  </sheetViews>
  <sheetFormatPr defaultColWidth="10.5703125" defaultRowHeight="14.25" customHeight="1"/>
  <cols>
    <col min="1" max="1" width="11.5703125" style="1846" customWidth="1"/>
    <col min="2" max="2" width="10.7109375" style="1846" customWidth="1"/>
    <col min="3" max="3" width="10" style="1846" customWidth="1"/>
    <col min="4" max="4" width="12.85546875" style="1846" customWidth="1"/>
    <col min="5" max="5" width="12.28515625" style="1846" customWidth="1"/>
    <col min="6" max="8" width="12.28515625" style="1740" customWidth="1"/>
    <col min="9" max="9" width="3.7109375" style="1740" customWidth="1"/>
    <col min="10" max="11" width="3.7109375" style="1677" customWidth="1"/>
    <col min="12" max="12" width="12.7109375" style="1727" customWidth="1"/>
    <col min="13" max="13" width="32" style="1846" customWidth="1"/>
    <col min="14" max="14" width="1.7109375" style="1846" customWidth="1"/>
    <col min="15" max="18" width="24.7109375" style="1846" customWidth="1"/>
    <col min="19" max="19" width="11.7109375" style="1846" customWidth="1"/>
    <col min="20" max="20" width="3.7109375" style="1846" customWidth="1"/>
    <col min="21" max="21" width="11.7109375" style="1846" customWidth="1"/>
    <col min="22" max="22" width="8.5703125" style="1846" customWidth="1"/>
    <col min="23" max="23" width="4.7109375" style="1846" customWidth="1"/>
    <col min="24" max="24" width="115.7109375" style="1846" customWidth="1"/>
    <col min="25" max="26" width="10.5703125" style="1772"/>
    <col min="27" max="27" width="11.140625" style="1772" customWidth="1"/>
    <col min="28" max="29" width="10.5703125" style="1772"/>
  </cols>
  <sheetData>
    <row r="1" spans="6:29" ht="14.25" hidden="1" customHeight="1">
      <c r="R1" s="254"/>
      <c r="S1" s="254"/>
    </row>
    <row r="2" spans="6:29" ht="14.25" hidden="1" customHeight="1">
      <c r="V2" s="254"/>
    </row>
    <row r="3" spans="6:29" ht="14.25" hidden="1" customHeight="1"/>
    <row r="4" spans="6:29" ht="14.25" customHeight="1">
      <c r="J4" s="304"/>
      <c r="K4" s="304"/>
      <c r="L4" s="1158"/>
      <c r="M4" s="289"/>
      <c r="N4" s="289"/>
      <c r="O4" s="437"/>
      <c r="P4" s="437"/>
      <c r="Q4" s="437"/>
      <c r="R4" s="437"/>
      <c r="S4" s="437"/>
      <c r="T4" s="437"/>
      <c r="U4" s="437"/>
      <c r="V4" s="437"/>
    </row>
    <row r="5" spans="6:29" ht="64.5" customHeight="1">
      <c r="J5" s="304"/>
      <c r="K5" s="304"/>
      <c r="L5" s="2079" t="s">
        <v>415</v>
      </c>
      <c r="M5" s="2079"/>
      <c r="N5" s="2079"/>
      <c r="O5" s="2079"/>
      <c r="P5" s="2079"/>
      <c r="Q5" s="2079"/>
      <c r="R5" s="2079"/>
      <c r="S5" s="2079"/>
      <c r="T5" s="2079"/>
      <c r="U5" s="2079"/>
      <c r="V5" s="1116"/>
    </row>
    <row r="6" spans="6:29" ht="14.25" customHeight="1">
      <c r="J6" s="304"/>
      <c r="K6" s="304"/>
      <c r="L6" s="2102" t="str">
        <f>IF(org=0,"Не определено",org)</f>
        <v>ООО "Автозаводская ТЭЦ"</v>
      </c>
      <c r="M6" s="2102"/>
      <c r="N6" s="2102"/>
      <c r="O6" s="2102"/>
      <c r="P6" s="2102"/>
      <c r="Q6" s="2102"/>
      <c r="R6" s="2102"/>
      <c r="S6" s="2102"/>
      <c r="T6" s="2102"/>
      <c r="U6" s="2102"/>
      <c r="V6" s="1116"/>
    </row>
    <row r="7" spans="6:29" ht="14.25" customHeight="1">
      <c r="J7" s="304"/>
      <c r="K7" s="304"/>
      <c r="L7" s="1158"/>
      <c r="M7" s="289"/>
      <c r="N7" s="289"/>
      <c r="O7" s="248"/>
      <c r="P7" s="248"/>
      <c r="Q7" s="248"/>
      <c r="R7" s="248"/>
      <c r="S7" s="248"/>
      <c r="T7" s="248"/>
      <c r="U7" s="248"/>
      <c r="V7" s="248"/>
      <c r="W7" s="437"/>
    </row>
    <row r="8" spans="6:29" s="1950" customFormat="1" ht="45" customHeight="1">
      <c r="F8" s="1122"/>
      <c r="G8" s="1122"/>
      <c r="H8" s="1122"/>
      <c r="L8" s="1159"/>
      <c r="M8" s="213" t="s">
        <v>38</v>
      </c>
      <c r="N8" s="222"/>
      <c r="O8" s="2228" t="str">
        <f>IF(TITLE_NAME_OR_PR_CHANGE="",IF(TITLE_NAME_OR_PR="","",TITLE_NAME_OR_PR),TITLE_NAME_OR_PR_CHANGE)</f>
        <v/>
      </c>
      <c r="P8" s="2228"/>
      <c r="Q8" s="2228"/>
      <c r="R8" s="2228"/>
      <c r="S8" s="2228"/>
      <c r="T8" s="2228"/>
      <c r="U8" s="2228"/>
      <c r="V8" s="253"/>
      <c r="W8" s="253"/>
      <c r="X8" s="199"/>
      <c r="Y8" s="295"/>
      <c r="Z8" s="295"/>
      <c r="AA8" s="295"/>
      <c r="AB8" s="295"/>
      <c r="AC8" s="295"/>
    </row>
    <row r="9" spans="6:29" s="1950" customFormat="1" ht="22.5" customHeight="1">
      <c r="F9" s="1122"/>
      <c r="G9" s="1122"/>
      <c r="H9" s="1122"/>
      <c r="L9" s="1159"/>
      <c r="M9" s="213" t="s">
        <v>1484</v>
      </c>
      <c r="N9" s="222"/>
      <c r="O9" s="2228" t="str">
        <f>IF(TITLE_DATE_CHANGE_PERIOD="",IF(TITLE_DATE_PR="","",TITLE_DATE_PR),TITLE_DATE_CHANGE_PERIOD)</f>
        <v/>
      </c>
      <c r="P9" s="2228"/>
      <c r="Q9" s="2228"/>
      <c r="R9" s="2228"/>
      <c r="S9" s="2228"/>
      <c r="T9" s="2228"/>
      <c r="U9" s="2228"/>
      <c r="V9" s="253"/>
      <c r="W9" s="253"/>
      <c r="X9" s="199"/>
      <c r="Y9" s="295"/>
      <c r="Z9" s="295"/>
      <c r="AA9" s="295"/>
      <c r="AB9" s="295"/>
      <c r="AC9" s="295"/>
    </row>
    <row r="10" spans="6:29" s="1950" customFormat="1" ht="22.5" customHeight="1">
      <c r="F10" s="1122"/>
      <c r="G10" s="1122"/>
      <c r="H10" s="1122"/>
      <c r="L10" s="1124"/>
      <c r="M10" s="213" t="s">
        <v>1485</v>
      </c>
      <c r="N10" s="222"/>
      <c r="O10" s="2228" t="str">
        <f>IF(TITLE_NUMBER_PR_CHANGE="",IF(TITLE_NUMBER_PR="","",TITLE_NUMBER_PR),TITLE_NUMBER_PR_CHANGE)</f>
        <v/>
      </c>
      <c r="P10" s="2228"/>
      <c r="Q10" s="2228"/>
      <c r="R10" s="2228"/>
      <c r="S10" s="2228"/>
      <c r="T10" s="2228"/>
      <c r="U10" s="2228"/>
      <c r="V10" s="253"/>
      <c r="W10" s="253"/>
      <c r="X10" s="199"/>
      <c r="Y10" s="295"/>
      <c r="Z10" s="295"/>
      <c r="AA10" s="295"/>
      <c r="AB10" s="295"/>
      <c r="AC10" s="295"/>
    </row>
    <row r="11" spans="6:29" s="1950" customFormat="1" ht="22.5" customHeight="1">
      <c r="F11" s="1122"/>
      <c r="G11" s="1122"/>
      <c r="H11" s="1122"/>
      <c r="L11" s="1124"/>
      <c r="M11" s="213" t="s">
        <v>39</v>
      </c>
      <c r="N11" s="222"/>
      <c r="O11" s="2228" t="str">
        <f>IF(TITLE_IST_PUB_CHANGE="",IF(TITLE_IST_PUB="","",TITLE_IST_PUB),TITLE_IST_PUB_CHANGE)</f>
        <v/>
      </c>
      <c r="P11" s="2228"/>
      <c r="Q11" s="2228"/>
      <c r="R11" s="2228"/>
      <c r="S11" s="2228"/>
      <c r="T11" s="2228"/>
      <c r="U11" s="2228"/>
      <c r="V11" s="253"/>
      <c r="W11" s="253"/>
      <c r="X11" s="199"/>
      <c r="Y11" s="295"/>
      <c r="Z11" s="295"/>
      <c r="AA11" s="295"/>
      <c r="AB11" s="295"/>
      <c r="AC11" s="295"/>
    </row>
    <row r="12" spans="6:29" s="1950" customFormat="1" ht="11.25" hidden="1" customHeight="1">
      <c r="F12" s="1122"/>
      <c r="G12" s="1122"/>
      <c r="H12" s="1122"/>
      <c r="L12" s="2296"/>
      <c r="M12" s="2296"/>
      <c r="N12" s="1169"/>
      <c r="O12" s="253"/>
      <c r="P12" s="253"/>
      <c r="Q12" s="253"/>
      <c r="R12" s="253"/>
      <c r="S12" s="253"/>
      <c r="T12" s="253"/>
      <c r="U12" s="253"/>
      <c r="V12" s="197" t="s">
        <v>1488</v>
      </c>
      <c r="Y12" s="295"/>
      <c r="Z12" s="295"/>
      <c r="AA12" s="295"/>
      <c r="AB12" s="295"/>
      <c r="AC12" s="295"/>
    </row>
    <row r="13" spans="6:29" ht="14.25" customHeight="1">
      <c r="J13" s="304"/>
      <c r="K13" s="304"/>
      <c r="L13" s="1158"/>
      <c r="M13" s="289"/>
      <c r="N13" s="1117"/>
      <c r="O13" s="2246"/>
      <c r="P13" s="2246"/>
      <c r="Q13" s="2246"/>
      <c r="R13" s="2246"/>
      <c r="S13" s="2246"/>
      <c r="T13" s="2246"/>
      <c r="U13" s="2246"/>
      <c r="V13" s="2246"/>
    </row>
    <row r="14" spans="6:29" ht="14.25" customHeight="1">
      <c r="J14" s="304"/>
      <c r="K14" s="304"/>
      <c r="L14" s="2021" t="s">
        <v>292</v>
      </c>
      <c r="M14" s="2021"/>
      <c r="N14" s="2021"/>
      <c r="O14" s="2021"/>
      <c r="P14" s="2021"/>
      <c r="Q14" s="2021"/>
      <c r="R14" s="2021"/>
      <c r="S14" s="2021"/>
      <c r="T14" s="2021"/>
      <c r="U14" s="2021"/>
      <c r="V14" s="2021"/>
      <c r="W14" s="2021"/>
      <c r="X14" s="2021" t="s">
        <v>293</v>
      </c>
    </row>
    <row r="15" spans="6:29" ht="14.25" customHeight="1">
      <c r="J15" s="304"/>
      <c r="K15" s="304"/>
      <c r="L15" s="2247" t="s">
        <v>88</v>
      </c>
      <c r="M15" s="2111" t="s">
        <v>1489</v>
      </c>
      <c r="N15" s="219"/>
      <c r="O15" s="2248" t="s">
        <v>1554</v>
      </c>
      <c r="P15" s="2249"/>
      <c r="Q15" s="2249"/>
      <c r="R15" s="2249"/>
      <c r="S15" s="2249"/>
      <c r="T15" s="2249"/>
      <c r="U15" s="2250"/>
      <c r="V15" s="2251" t="s">
        <v>1491</v>
      </c>
      <c r="W15" s="2254" t="s">
        <v>1555</v>
      </c>
      <c r="X15" s="2021"/>
    </row>
    <row r="16" spans="6:29" ht="33.75" customHeight="1">
      <c r="J16" s="304"/>
      <c r="K16" s="304"/>
      <c r="L16" s="2247"/>
      <c r="M16" s="2111"/>
      <c r="N16" s="924"/>
      <c r="O16" s="2080" t="s">
        <v>1494</v>
      </c>
      <c r="P16" s="2080" t="s">
        <v>1495</v>
      </c>
      <c r="Q16" s="2003" t="s">
        <v>1496</v>
      </c>
      <c r="R16" s="2002"/>
      <c r="S16" s="2003" t="s">
        <v>1515</v>
      </c>
      <c r="T16" s="2008"/>
      <c r="U16" s="2002"/>
      <c r="V16" s="2252"/>
      <c r="W16" s="2255"/>
      <c r="X16" s="2021"/>
    </row>
    <row r="17" spans="1:29" ht="33.75" customHeight="1">
      <c r="A17" s="1142" t="s">
        <v>135</v>
      </c>
      <c r="B17" s="1142" t="s">
        <v>136</v>
      </c>
      <c r="C17" s="1142" t="s">
        <v>137</v>
      </c>
      <c r="D17" s="1142" t="s">
        <v>138</v>
      </c>
      <c r="E17" s="1142"/>
      <c r="J17" s="304"/>
      <c r="K17" s="304"/>
      <c r="L17" s="2247"/>
      <c r="M17" s="2111"/>
      <c r="N17" s="220"/>
      <c r="O17" s="2136"/>
      <c r="P17" s="2136"/>
      <c r="Q17" s="1092" t="s">
        <v>1505</v>
      </c>
      <c r="R17" s="1092" t="s">
        <v>1506</v>
      </c>
      <c r="S17" s="1174" t="s">
        <v>1507</v>
      </c>
      <c r="T17" s="2117" t="s">
        <v>1508</v>
      </c>
      <c r="U17" s="2131"/>
      <c r="V17" s="2253"/>
      <c r="W17" s="2256"/>
      <c r="X17" s="2021"/>
    </row>
    <row r="18" spans="1:29" s="1720" customFormat="1" ht="11.25" customHeight="1">
      <c r="A18" s="1142"/>
      <c r="B18" s="1142"/>
      <c r="C18" s="1142"/>
      <c r="D18" s="1142"/>
      <c r="E18" s="1142"/>
      <c r="F18" s="1168"/>
      <c r="G18" s="1168"/>
      <c r="H18" s="1168"/>
      <c r="I18" s="1119"/>
      <c r="J18" s="1120"/>
      <c r="K18" s="1135">
        <v>1</v>
      </c>
      <c r="L18" s="1160" t="s">
        <v>109</v>
      </c>
      <c r="M18" s="1136" t="s">
        <v>110</v>
      </c>
      <c r="N18" s="1118" t="str">
        <f ca="1">OFFSET(N18,0,-1)</f>
        <v>2</v>
      </c>
      <c r="O18" s="1171">
        <f ca="1">OFFSET(O18,0,-1)+1</f>
        <v>3</v>
      </c>
      <c r="P18" s="1171"/>
      <c r="Q18" s="1171">
        <f ca="1">OFFSET(Q18,0,-1)+1</f>
        <v>1</v>
      </c>
      <c r="R18" s="1171">
        <f ca="1">OFFSET(R18,0,-1)+1</f>
        <v>2</v>
      </c>
      <c r="S18" s="1171">
        <f ca="1">OFFSET(S18,0,-1)+1</f>
        <v>3</v>
      </c>
      <c r="T18" s="2245">
        <f ca="1">OFFSET(T18,0,-1)+1</f>
        <v>4</v>
      </c>
      <c r="U18" s="2245"/>
      <c r="V18" s="1171">
        <f ca="1">OFFSET(V18,0,-2)+1</f>
        <v>5</v>
      </c>
      <c r="W18" s="1118">
        <f ca="1">OFFSET(W18,0,-1)</f>
        <v>5</v>
      </c>
      <c r="X18" s="1171">
        <f ca="1">OFFSET(X18,0,-1)+1</f>
        <v>6</v>
      </c>
      <c r="Y18" s="439"/>
      <c r="Z18" s="439"/>
      <c r="AA18" s="439"/>
      <c r="AB18" s="439"/>
      <c r="AC18" s="439"/>
    </row>
    <row r="19" spans="1:29" ht="21" customHeight="1">
      <c r="A19" s="1149" t="s">
        <v>1559</v>
      </c>
      <c r="B19" s="1149" t="s">
        <v>1560</v>
      </c>
      <c r="C19" s="1149" t="s">
        <v>1561</v>
      </c>
      <c r="D19" s="1149" t="s">
        <v>1562</v>
      </c>
      <c r="E19" s="1149"/>
      <c r="F19" s="603"/>
      <c r="G19" s="603"/>
      <c r="H19" s="603"/>
      <c r="I19" s="285"/>
      <c r="J19" s="284"/>
      <c r="K19" s="279"/>
      <c r="L19" s="1175" t="e">
        <f>INDEX(PT_DIFFERENTIATION_NUM_NTAR,MATCH(A19,PT_DIFFERENTIATION_NTAR_ID,0))</f>
        <v>#N/A</v>
      </c>
      <c r="M19" s="216" t="s">
        <v>124</v>
      </c>
      <c r="N19" s="218"/>
      <c r="O19" s="2291" t="e">
        <f>INDEX(PT_DIFFERENTIATION_NTAR,MATCH(A19,PT_DIFFERENTIATION_NTAR_ID,0))</f>
        <v>#N/A</v>
      </c>
      <c r="P19" s="2291"/>
      <c r="Q19" s="2291"/>
      <c r="R19" s="2291"/>
      <c r="S19" s="2291"/>
      <c r="T19" s="2291"/>
      <c r="U19" s="2291"/>
      <c r="V19" s="2291"/>
      <c r="W19" s="2291"/>
      <c r="X19" s="1140" t="s">
        <v>1460</v>
      </c>
      <c r="Z19" s="428"/>
      <c r="AA19" s="428" t="str">
        <f t="shared" ref="AA19:AA32" si="0">IF(M19="","",M19)</f>
        <v>Наименование тарифа</v>
      </c>
      <c r="AB19" s="428"/>
      <c r="AC19" s="428"/>
    </row>
    <row r="20" spans="1:29" ht="21" customHeight="1">
      <c r="A20" s="1149" t="s">
        <v>1559</v>
      </c>
      <c r="B20" s="1149" t="s">
        <v>1560</v>
      </c>
      <c r="C20" s="1149" t="s">
        <v>1561</v>
      </c>
      <c r="D20" s="1149" t="s">
        <v>1562</v>
      </c>
      <c r="E20" s="1149"/>
      <c r="F20" s="603"/>
      <c r="G20" s="603"/>
      <c r="H20" s="603"/>
      <c r="I20" s="1172"/>
      <c r="J20" s="276"/>
      <c r="K20" s="277"/>
      <c r="L20" s="1175" t="e">
        <f>INDEX(PT_DIFFERENTIATION_NUM_TER,MATCH(B19,PT_DIFFERENTIATION_TER_ID,0))</f>
        <v>#N/A</v>
      </c>
      <c r="M20" s="228" t="s">
        <v>1461</v>
      </c>
      <c r="N20" s="218"/>
      <c r="O20" s="2291" t="e">
        <f>INDEX(PT_DIFFERENTIATION_TER,MATCH(B19,PT_DIFFERENTIATION_TER_ID,0))</f>
        <v>#N/A</v>
      </c>
      <c r="P20" s="2291"/>
      <c r="Q20" s="2291"/>
      <c r="R20" s="2291"/>
      <c r="S20" s="2291"/>
      <c r="T20" s="2291"/>
      <c r="U20" s="2291"/>
      <c r="V20" s="2291"/>
      <c r="W20" s="2291"/>
      <c r="X20" s="1140" t="s">
        <v>1462</v>
      </c>
      <c r="Z20" s="428"/>
      <c r="AA20" s="428" t="str">
        <f t="shared" si="0"/>
        <v>Территория действия тарифа</v>
      </c>
      <c r="AB20" s="428"/>
      <c r="AC20" s="428"/>
    </row>
    <row r="21" spans="1:29" ht="22.5" customHeight="1">
      <c r="A21" s="1149" t="s">
        <v>1559</v>
      </c>
      <c r="B21" s="1149" t="s">
        <v>1560</v>
      </c>
      <c r="C21" s="1149" t="s">
        <v>1561</v>
      </c>
      <c r="D21" s="1149" t="s">
        <v>1562</v>
      </c>
      <c r="E21" s="1149"/>
      <c r="F21" s="603"/>
      <c r="G21" s="603"/>
      <c r="H21" s="603"/>
      <c r="I21" s="278"/>
      <c r="J21" s="276"/>
      <c r="K21" s="277"/>
      <c r="L21" s="1175" t="e">
        <f>INDEX(PT_DIFFERENTIATION_NUM_CS,MATCH(C19,PT_DIFFERENTIATION_CS_ID,0))</f>
        <v>#N/A</v>
      </c>
      <c r="M21" s="229" t="s">
        <v>1463</v>
      </c>
      <c r="N21" s="218"/>
      <c r="O21" s="2291" t="e">
        <f>INDEX(PT_DIFFERENTIATION_CS,MATCH(C19,PT_DIFFERENTIATION_CS_ID,0))</f>
        <v>#N/A</v>
      </c>
      <c r="P21" s="2291"/>
      <c r="Q21" s="2291"/>
      <c r="R21" s="2291"/>
      <c r="S21" s="2291"/>
      <c r="T21" s="2291"/>
      <c r="U21" s="2291"/>
      <c r="V21" s="2291"/>
      <c r="W21" s="2291"/>
      <c r="X21" s="1140" t="s">
        <v>1464</v>
      </c>
      <c r="Z21" s="428"/>
      <c r="AA21" s="428" t="str">
        <f t="shared" si="0"/>
        <v xml:space="preserve">Наименование системы теплоснабжения </v>
      </c>
      <c r="AB21" s="428"/>
      <c r="AC21" s="428"/>
    </row>
    <row r="22" spans="1:29" ht="21" customHeight="1">
      <c r="A22" s="1149" t="s">
        <v>1559</v>
      </c>
      <c r="B22" s="1149" t="s">
        <v>1560</v>
      </c>
      <c r="C22" s="1149" t="s">
        <v>1561</v>
      </c>
      <c r="D22" s="1149" t="s">
        <v>1562</v>
      </c>
      <c r="E22" s="1149"/>
      <c r="F22" s="603"/>
      <c r="G22" s="603"/>
      <c r="H22" s="603"/>
      <c r="I22" s="278"/>
      <c r="J22" s="276"/>
      <c r="K22" s="277"/>
      <c r="L22" s="1175" t="e">
        <f>INDEX(PT_DIFFERENTIATION_NUM_IST_TE,MATCH(D19,PT_DIFFERENTIATION_IST_TE_ID,0))</f>
        <v>#N/A</v>
      </c>
      <c r="M22" s="230" t="s">
        <v>1465</v>
      </c>
      <c r="N22" s="218"/>
      <c r="O22" s="2291" t="e">
        <f>INDEX(PT_DIFFERENTIATION_IST_TE,MATCH(D19,PT_DIFFERENTIATION_IST_TE_ID,0))</f>
        <v>#N/A</v>
      </c>
      <c r="P22" s="2291"/>
      <c r="Q22" s="2291"/>
      <c r="R22" s="2291"/>
      <c r="S22" s="2291"/>
      <c r="T22" s="2291"/>
      <c r="U22" s="2291"/>
      <c r="V22" s="2291"/>
      <c r="W22" s="2291"/>
      <c r="X22" s="1140" t="s">
        <v>1466</v>
      </c>
      <c r="Z22" s="428"/>
      <c r="AA22" s="428" t="str">
        <f t="shared" si="0"/>
        <v xml:space="preserve">Источник тепловой энергии  </v>
      </c>
      <c r="AB22" s="428"/>
      <c r="AC22" s="428"/>
    </row>
    <row r="23" spans="1:29" ht="94.5" customHeight="1">
      <c r="A23" s="1149" t="s">
        <v>1559</v>
      </c>
      <c r="B23" s="1149" t="s">
        <v>1560</v>
      </c>
      <c r="C23" s="1149" t="s">
        <v>1561</v>
      </c>
      <c r="D23" s="1149" t="s">
        <v>1562</v>
      </c>
      <c r="E23" s="1149"/>
      <c r="F23" s="2006" t="e">
        <f>L22&amp;".1"</f>
        <v>#N/A</v>
      </c>
      <c r="I23" s="2157">
        <v>1</v>
      </c>
      <c r="J23" s="1173"/>
      <c r="K23" s="280"/>
      <c r="L23" s="1175" t="e">
        <f>$F$23</f>
        <v>#N/A</v>
      </c>
      <c r="M23" s="203" t="s">
        <v>1468</v>
      </c>
      <c r="N23" s="218"/>
      <c r="O23" s="2292"/>
      <c r="P23" s="2292"/>
      <c r="Q23" s="2292"/>
      <c r="R23" s="2292"/>
      <c r="S23" s="2292"/>
      <c r="T23" s="2292"/>
      <c r="U23" s="2292"/>
      <c r="V23" s="2292"/>
      <c r="W23" s="2292"/>
      <c r="X23" s="1140" t="s">
        <v>1469</v>
      </c>
      <c r="Z23" s="428"/>
      <c r="AA23" s="428" t="str">
        <f t="shared" si="0"/>
        <v>Схема подключения теплопотребляющей установки к коллектору источника тепловой энергии</v>
      </c>
      <c r="AB23" s="428"/>
      <c r="AC23" s="428"/>
    </row>
    <row r="24" spans="1:29" ht="84" customHeight="1">
      <c r="A24" s="1149" t="s">
        <v>1559</v>
      </c>
      <c r="B24" s="1149" t="s">
        <v>1560</v>
      </c>
      <c r="C24" s="1149" t="s">
        <v>1561</v>
      </c>
      <c r="D24" s="1149" t="s">
        <v>1562</v>
      </c>
      <c r="E24" s="1149"/>
      <c r="F24" s="2006"/>
      <c r="G24" s="2006" t="e">
        <f>F23&amp;".1"</f>
        <v>#N/A</v>
      </c>
      <c r="I24" s="2157"/>
      <c r="J24" s="2157">
        <v>1</v>
      </c>
      <c r="K24" s="281"/>
      <c r="L24" s="1175" t="e">
        <f>$G$24</f>
        <v>#N/A</v>
      </c>
      <c r="M24" s="204" t="s">
        <v>1471</v>
      </c>
      <c r="N24" s="218"/>
      <c r="O24" s="2293"/>
      <c r="P24" s="2294"/>
      <c r="Q24" s="2294"/>
      <c r="R24" s="2294"/>
      <c r="S24" s="2294"/>
      <c r="T24" s="2294"/>
      <c r="U24" s="2294"/>
      <c r="V24" s="2294"/>
      <c r="W24" s="2295"/>
      <c r="X24" s="1140" t="s">
        <v>1472</v>
      </c>
      <c r="Z24" s="428"/>
      <c r="AA24" s="428" t="str">
        <f t="shared" si="0"/>
        <v>Группа потребителей</v>
      </c>
      <c r="AB24" s="428"/>
      <c r="AC24" s="428"/>
    </row>
    <row r="25" spans="1:29" ht="11.25" customHeight="1">
      <c r="A25" s="1149" t="s">
        <v>1559</v>
      </c>
      <c r="B25" s="1149" t="s">
        <v>1560</v>
      </c>
      <c r="C25" s="1149" t="s">
        <v>1561</v>
      </c>
      <c r="D25" s="1149" t="s">
        <v>1562</v>
      </c>
      <c r="E25" s="1149"/>
      <c r="F25" s="2006"/>
      <c r="G25" s="2006"/>
      <c r="H25" s="2006" t="e">
        <f>G24&amp;".1"</f>
        <v>#N/A</v>
      </c>
      <c r="I25" s="2157"/>
      <c r="J25" s="2157"/>
      <c r="K25" s="281">
        <v>1</v>
      </c>
      <c r="L25" s="1175" t="e">
        <f>$H$25</f>
        <v>#N/A</v>
      </c>
      <c r="M25" s="1141"/>
      <c r="N25" s="218"/>
      <c r="O25" s="1667"/>
      <c r="P25" s="1668"/>
      <c r="Q25" s="1667"/>
      <c r="R25" s="1669"/>
      <c r="S25" s="2239"/>
      <c r="T25" s="2031" t="s">
        <v>66</v>
      </c>
      <c r="U25" s="2239"/>
      <c r="V25" s="2031" t="s">
        <v>56</v>
      </c>
      <c r="W25" s="1668"/>
      <c r="X25" s="2257" t="s">
        <v>1474</v>
      </c>
      <c r="Y25" s="439" t="e">
        <f ca="1">STRCHECKDATE(O26:W26)</f>
        <v>#NAME?</v>
      </c>
      <c r="Z25" s="428"/>
      <c r="AA25" s="428" t="str">
        <f t="shared" si="0"/>
        <v/>
      </c>
      <c r="AB25" s="428"/>
      <c r="AC25" s="428"/>
    </row>
    <row r="26" spans="1:29" ht="11.25" customHeight="1">
      <c r="A26" s="1149" t="s">
        <v>1559</v>
      </c>
      <c r="B26" s="1149" t="s">
        <v>1560</v>
      </c>
      <c r="C26" s="1149" t="s">
        <v>1561</v>
      </c>
      <c r="D26" s="1149" t="s">
        <v>1562</v>
      </c>
      <c r="E26" s="1149"/>
      <c r="F26" s="2006"/>
      <c r="G26" s="2006"/>
      <c r="H26" s="2006"/>
      <c r="I26" s="2157"/>
      <c r="J26" s="2157"/>
      <c r="K26" s="281"/>
      <c r="L26" s="1176"/>
      <c r="M26" s="218"/>
      <c r="N26" s="218"/>
      <c r="O26" s="1668"/>
      <c r="P26" s="1668"/>
      <c r="Q26" s="1668"/>
      <c r="R26" s="1670" t="str">
        <f>S25&amp;"-"&amp;U25</f>
        <v>-</v>
      </c>
      <c r="S26" s="2240"/>
      <c r="T26" s="2031"/>
      <c r="U26" s="2240"/>
      <c r="V26" s="2031"/>
      <c r="W26" s="1668"/>
      <c r="X26" s="2258"/>
      <c r="Z26" s="428"/>
      <c r="AA26" s="428" t="str">
        <f t="shared" si="0"/>
        <v/>
      </c>
      <c r="AB26" s="428"/>
      <c r="AC26" s="428"/>
    </row>
    <row r="27" spans="1:29" ht="15" customHeight="1">
      <c r="A27" s="1149" t="s">
        <v>1559</v>
      </c>
      <c r="B27" s="1149" t="s">
        <v>1560</v>
      </c>
      <c r="C27" s="1149" t="s">
        <v>1561</v>
      </c>
      <c r="D27" s="1149" t="s">
        <v>1562</v>
      </c>
      <c r="E27" s="1149"/>
      <c r="F27" s="2006"/>
      <c r="G27" s="2006"/>
      <c r="I27" s="2157"/>
      <c r="J27" s="2157"/>
      <c r="K27" s="280"/>
      <c r="L27" s="1161"/>
      <c r="M27" s="206" t="s">
        <v>1475</v>
      </c>
      <c r="N27" s="294"/>
      <c r="O27" s="294"/>
      <c r="P27" s="294"/>
      <c r="Q27" s="294"/>
      <c r="R27" s="294"/>
      <c r="S27" s="294"/>
      <c r="T27" s="294"/>
      <c r="U27" s="294"/>
      <c r="V27" s="294"/>
      <c r="W27" s="251"/>
      <c r="X27" s="2259"/>
      <c r="Z27" s="428"/>
      <c r="AA27" s="428" t="str">
        <f t="shared" si="0"/>
        <v>Добавить вид теплоносителя (параметры теплоносителя)</v>
      </c>
      <c r="AB27" s="428"/>
      <c r="AC27" s="428"/>
    </row>
    <row r="28" spans="1:29" ht="15" customHeight="1">
      <c r="A28" s="1149" t="s">
        <v>1559</v>
      </c>
      <c r="B28" s="1149" t="s">
        <v>1560</v>
      </c>
      <c r="C28" s="1149" t="s">
        <v>1561</v>
      </c>
      <c r="D28" s="1149" t="s">
        <v>1562</v>
      </c>
      <c r="E28" s="1149"/>
      <c r="F28" s="2006"/>
      <c r="I28" s="2157"/>
      <c r="J28" s="1173"/>
      <c r="K28" s="280"/>
      <c r="L28" s="1161"/>
      <c r="M28" s="205" t="s">
        <v>1476</v>
      </c>
      <c r="N28" s="294"/>
      <c r="O28" s="294"/>
      <c r="P28" s="294"/>
      <c r="Q28" s="294"/>
      <c r="R28" s="294"/>
      <c r="S28" s="294"/>
      <c r="T28" s="294"/>
      <c r="U28" s="294"/>
      <c r="V28" s="293"/>
      <c r="W28" s="294"/>
      <c r="X28" s="221"/>
      <c r="Z28" s="428"/>
      <c r="AA28" s="428" t="str">
        <f t="shared" si="0"/>
        <v>Добавить группу потребителей</v>
      </c>
      <c r="AB28" s="428"/>
      <c r="AC28" s="428"/>
    </row>
    <row r="29" spans="1:29" ht="14.25" customHeight="1">
      <c r="A29" s="1149" t="s">
        <v>1559</v>
      </c>
      <c r="B29" s="1149" t="s">
        <v>1560</v>
      </c>
      <c r="C29" s="1149" t="s">
        <v>1561</v>
      </c>
      <c r="D29" s="1149" t="s">
        <v>1562</v>
      </c>
      <c r="E29" s="1149"/>
      <c r="F29" s="603"/>
      <c r="G29" s="603"/>
      <c r="H29" s="437"/>
      <c r="I29" s="284"/>
      <c r="J29" s="303"/>
      <c r="K29" s="279"/>
      <c r="L29" s="1161"/>
      <c r="M29" s="291" t="s">
        <v>1477</v>
      </c>
      <c r="N29" s="294"/>
      <c r="O29" s="294"/>
      <c r="P29" s="294"/>
      <c r="Q29" s="294"/>
      <c r="R29" s="294"/>
      <c r="S29" s="294"/>
      <c r="T29" s="294"/>
      <c r="U29" s="294"/>
      <c r="V29" s="293"/>
      <c r="W29" s="294"/>
      <c r="X29" s="221"/>
      <c r="Z29" s="428"/>
      <c r="AA29" s="428" t="str">
        <f t="shared" si="0"/>
        <v>Добавить схему подключения</v>
      </c>
      <c r="AB29" s="428"/>
      <c r="AC29" s="428"/>
    </row>
    <row r="30" spans="1:29" ht="14.25" customHeight="1">
      <c r="A30" s="1149" t="s">
        <v>1559</v>
      </c>
      <c r="B30" s="1149" t="s">
        <v>1560</v>
      </c>
      <c r="C30" s="1149" t="s">
        <v>1561</v>
      </c>
      <c r="D30" s="1149"/>
      <c r="E30" s="1149" t="s">
        <v>1556</v>
      </c>
      <c r="F30" s="603"/>
      <c r="G30" s="603"/>
      <c r="H30" s="437"/>
      <c r="I30" s="284"/>
      <c r="J30" s="303"/>
      <c r="K30" s="279"/>
      <c r="L30" s="1162"/>
      <c r="M30" s="1151"/>
      <c r="N30" s="1152"/>
      <c r="O30" s="1152"/>
      <c r="P30" s="1152"/>
      <c r="Q30" s="1152"/>
      <c r="R30" s="1152"/>
      <c r="S30" s="1152"/>
      <c r="T30" s="1152"/>
      <c r="U30" s="1152"/>
      <c r="V30" s="1153"/>
      <c r="W30" s="1152"/>
      <c r="X30" s="1154"/>
      <c r="Z30" s="428"/>
      <c r="AA30" s="428" t="str">
        <f t="shared" si="0"/>
        <v/>
      </c>
      <c r="AB30" s="428"/>
      <c r="AC30" s="428"/>
    </row>
    <row r="31" spans="1:29" ht="14.25" customHeight="1">
      <c r="A31" s="1149" t="s">
        <v>1559</v>
      </c>
      <c r="B31" s="1149" t="s">
        <v>1560</v>
      </c>
      <c r="C31" s="1149"/>
      <c r="D31" s="1149"/>
      <c r="E31" s="1149" t="s">
        <v>1557</v>
      </c>
      <c r="F31" s="1138"/>
      <c r="G31" s="1138"/>
      <c r="H31" s="437"/>
      <c r="I31" s="282"/>
      <c r="J31" s="303"/>
      <c r="K31" s="283"/>
      <c r="L31" s="1162"/>
      <c r="M31" s="1155"/>
      <c r="N31" s="1152"/>
      <c r="O31" s="1152"/>
      <c r="P31" s="1152"/>
      <c r="Q31" s="1152"/>
      <c r="R31" s="1152"/>
      <c r="S31" s="1152"/>
      <c r="T31" s="1152"/>
      <c r="U31" s="1152"/>
      <c r="V31" s="1153"/>
      <c r="W31" s="1152"/>
      <c r="X31" s="1154"/>
      <c r="Z31" s="428"/>
      <c r="AA31" s="428" t="str">
        <f t="shared" si="0"/>
        <v/>
      </c>
      <c r="AB31" s="428"/>
      <c r="AC31" s="428"/>
    </row>
    <row r="32" spans="1:29" ht="14.25" customHeight="1">
      <c r="A32" s="1149" t="s">
        <v>1563</v>
      </c>
      <c r="B32" s="1149"/>
      <c r="C32" s="1149"/>
      <c r="D32" s="1149"/>
      <c r="E32" s="1149" t="s">
        <v>104</v>
      </c>
      <c r="F32" s="1138"/>
      <c r="G32" s="1138"/>
      <c r="H32" s="437"/>
      <c r="I32" s="284"/>
      <c r="J32" s="303"/>
      <c r="K32" s="279"/>
      <c r="L32" s="1162"/>
      <c r="M32" s="1156"/>
      <c r="N32" s="1152"/>
      <c r="O32" s="1152"/>
      <c r="P32" s="1152"/>
      <c r="Q32" s="1152"/>
      <c r="R32" s="1152"/>
      <c r="S32" s="1152"/>
      <c r="T32" s="1152"/>
      <c r="U32" s="1152"/>
      <c r="V32" s="1153"/>
      <c r="W32" s="1152"/>
      <c r="X32" s="1154"/>
      <c r="Z32" s="428"/>
      <c r="AA32" s="428" t="str">
        <f t="shared" si="0"/>
        <v/>
      </c>
      <c r="AB32" s="428"/>
      <c r="AC32" s="428"/>
    </row>
    <row r="33" spans="1:29" s="1753" customFormat="1" ht="11.25" customHeight="1">
      <c r="A33" s="1149"/>
      <c r="B33" s="1149"/>
      <c r="C33" s="1149"/>
      <c r="D33" s="1149"/>
      <c r="E33" s="1149" t="s">
        <v>1439</v>
      </c>
      <c r="F33" s="1150"/>
      <c r="G33" s="1139"/>
      <c r="H33" s="437"/>
      <c r="L33" s="1163"/>
      <c r="M33" s="1157"/>
      <c r="N33" s="1152"/>
      <c r="O33" s="1152"/>
      <c r="P33" s="1152"/>
      <c r="Q33" s="1152"/>
      <c r="R33" s="1152"/>
      <c r="S33" s="1152"/>
      <c r="T33" s="1152"/>
      <c r="U33" s="1152"/>
      <c r="V33" s="1153"/>
      <c r="W33" s="1152"/>
      <c r="X33" s="1154"/>
      <c r="Y33" s="309"/>
      <c r="Z33" s="309"/>
      <c r="AA33" s="309"/>
      <c r="AB33" s="309"/>
      <c r="AC33" s="309"/>
    </row>
    <row r="34" spans="1:29" ht="11.25" customHeight="1">
      <c r="F34" s="1031"/>
      <c r="G34" s="1031"/>
      <c r="H34" s="437"/>
      <c r="I34" s="1031"/>
      <c r="J34" s="1031"/>
      <c r="K34" s="1031"/>
      <c r="Y34" s="1031"/>
      <c r="Z34" s="1031"/>
      <c r="AA34" s="1031"/>
      <c r="AB34" s="1031"/>
      <c r="AC34" s="1031"/>
    </row>
    <row r="35" spans="1:29" ht="27" customHeight="1">
      <c r="H35" s="437"/>
      <c r="L35" s="1170" t="s">
        <v>1509</v>
      </c>
      <c r="M35" s="2234" t="s">
        <v>1516</v>
      </c>
      <c r="N35" s="2234"/>
      <c r="O35" s="2234"/>
      <c r="P35" s="2234"/>
      <c r="Q35" s="2234"/>
      <c r="R35" s="2234"/>
      <c r="S35" s="2234"/>
      <c r="T35" s="2234"/>
      <c r="U35" s="2234"/>
      <c r="V35" s="2234"/>
      <c r="W35" s="2234"/>
      <c r="X35" s="2234"/>
    </row>
    <row r="36" spans="1:29" ht="104.25" customHeight="1">
      <c r="F36" s="1189"/>
      <c r="G36" s="1189"/>
      <c r="H36" s="437"/>
      <c r="I36" s="1189"/>
      <c r="M36" s="2234" t="s">
        <v>1511</v>
      </c>
      <c r="N36" s="2234"/>
      <c r="O36" s="2234"/>
      <c r="P36" s="2234"/>
      <c r="Q36" s="2234"/>
      <c r="R36" s="2234"/>
      <c r="S36" s="2234"/>
      <c r="T36" s="2234"/>
      <c r="U36" s="2234"/>
      <c r="V36" s="2234"/>
      <c r="W36" s="2234"/>
      <c r="X36" s="2234"/>
    </row>
    <row r="37" spans="1:29" ht="14.25" customHeight="1">
      <c r="H37" s="437"/>
    </row>
    <row r="38" spans="1:29" ht="14.25" customHeight="1">
      <c r="H38" s="437"/>
    </row>
    <row r="39" spans="1:29" ht="14.25" customHeight="1">
      <c r="H39" s="437"/>
    </row>
    <row r="40" spans="1:29" ht="14.25" customHeight="1">
      <c r="H40" s="437"/>
    </row>
  </sheetData>
  <sheetProtection formatColumns="0" formatRows="0" insertRows="0" deleteColumns="0" deleteRows="0" sort="0" autoFilter="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A4" workbookViewId="0"/>
  </sheetViews>
  <sheetFormatPr defaultColWidth="10.5703125" defaultRowHeight="14.25" customHeight="1"/>
  <cols>
    <col min="1" max="1" width="10.5703125" style="1846"/>
    <col min="2" max="2" width="11" style="1846" customWidth="1"/>
    <col min="3" max="3" width="10.5703125" style="1846"/>
    <col min="4" max="4" width="11.85546875" style="1846" customWidth="1"/>
    <col min="5" max="5" width="12.28515625" style="1846" customWidth="1"/>
    <col min="6" max="8" width="12.28515625" style="1740" customWidth="1"/>
    <col min="9" max="9" width="3.7109375" style="1740" customWidth="1"/>
    <col min="10" max="11" width="3.7109375" style="1677" customWidth="1"/>
    <col min="12" max="12" width="12.7109375" style="1727" customWidth="1"/>
    <col min="13" max="13" width="32" style="1846" customWidth="1"/>
    <col min="14" max="14" width="1.7109375" style="1846" customWidth="1"/>
    <col min="15" max="18" width="24.7109375" style="1846" customWidth="1"/>
    <col min="19" max="19" width="11.7109375" style="1846" customWidth="1"/>
    <col min="20" max="20" width="3.7109375" style="1846" customWidth="1"/>
    <col min="21" max="21" width="11.7109375" style="1846" customWidth="1"/>
    <col min="22" max="22" width="8.5703125" style="1846" customWidth="1"/>
    <col min="23" max="23" width="4.7109375" style="1846" customWidth="1"/>
    <col min="24" max="24" width="115.7109375" style="1846" customWidth="1"/>
    <col min="25" max="26" width="10.5703125" style="1772"/>
    <col min="27" max="27" width="11.140625" style="1772" customWidth="1"/>
    <col min="28" max="29" width="10.5703125" style="1772"/>
  </cols>
  <sheetData>
    <row r="1" spans="6:29" ht="14.25" hidden="1" customHeight="1">
      <c r="R1" s="254"/>
      <c r="S1" s="254"/>
    </row>
    <row r="2" spans="6:29" ht="14.25" hidden="1" customHeight="1">
      <c r="V2" s="254"/>
    </row>
    <row r="3" spans="6:29" ht="14.25" hidden="1" customHeight="1"/>
    <row r="4" spans="6:29" ht="14.25" customHeight="1">
      <c r="J4" s="304"/>
      <c r="K4" s="304"/>
      <c r="L4" s="1158"/>
      <c r="M4" s="289"/>
      <c r="N4" s="289"/>
      <c r="O4" s="437"/>
      <c r="P4" s="437"/>
      <c r="Q4" s="437"/>
      <c r="R4" s="437"/>
      <c r="S4" s="437"/>
      <c r="T4" s="437"/>
      <c r="U4" s="437"/>
      <c r="V4" s="437"/>
    </row>
    <row r="5" spans="6:29" ht="64.5" customHeight="1">
      <c r="J5" s="304"/>
      <c r="K5" s="304"/>
      <c r="L5" s="2079" t="s">
        <v>415</v>
      </c>
      <c r="M5" s="2079"/>
      <c r="N5" s="2079"/>
      <c r="O5" s="2079"/>
      <c r="P5" s="2079"/>
      <c r="Q5" s="2079"/>
      <c r="R5" s="2079"/>
      <c r="S5" s="2079"/>
      <c r="T5" s="2079"/>
      <c r="U5" s="2079"/>
      <c r="V5" s="1116"/>
    </row>
    <row r="6" spans="6:29" ht="14.25" customHeight="1">
      <c r="J6" s="304"/>
      <c r="K6" s="304"/>
      <c r="L6" s="2102" t="str">
        <f>IF(org=0,"Не определено",org)</f>
        <v>ООО "Автозаводская ТЭЦ"</v>
      </c>
      <c r="M6" s="2102"/>
      <c r="N6" s="2102"/>
      <c r="O6" s="2102"/>
      <c r="P6" s="2102"/>
      <c r="Q6" s="2102"/>
      <c r="R6" s="2102"/>
      <c r="S6" s="2102"/>
      <c r="T6" s="2102"/>
      <c r="U6" s="2102"/>
      <c r="V6" s="1116"/>
    </row>
    <row r="7" spans="6:29" ht="14.25" customHeight="1">
      <c r="J7" s="304"/>
      <c r="K7" s="304"/>
      <c r="L7" s="1158"/>
      <c r="M7" s="289"/>
      <c r="N7" s="289"/>
      <c r="O7" s="248"/>
      <c r="P7" s="248"/>
      <c r="Q7" s="248"/>
      <c r="R7" s="248"/>
      <c r="S7" s="248"/>
      <c r="T7" s="248"/>
      <c r="U7" s="248"/>
      <c r="V7" s="248"/>
      <c r="W7" s="437"/>
    </row>
    <row r="8" spans="6:29" s="1950" customFormat="1" ht="45" customHeight="1">
      <c r="F8" s="1122"/>
      <c r="G8" s="1122"/>
      <c r="H8" s="1122"/>
      <c r="L8" s="1159"/>
      <c r="M8" s="213" t="s">
        <v>38</v>
      </c>
      <c r="N8" s="222"/>
      <c r="O8" s="2228" t="str">
        <f>IF(TITLE_NAME_OR_PR_CHANGE="",IF(TITLE_NAME_OR_PR="","",TITLE_NAME_OR_PR),TITLE_NAME_OR_PR_CHANGE)</f>
        <v/>
      </c>
      <c r="P8" s="2228"/>
      <c r="Q8" s="2228"/>
      <c r="R8" s="2228"/>
      <c r="S8" s="2228"/>
      <c r="T8" s="2228"/>
      <c r="U8" s="2228"/>
      <c r="V8" s="253"/>
      <c r="W8" s="253"/>
      <c r="X8" s="199"/>
      <c r="Y8" s="295"/>
      <c r="Z8" s="295"/>
      <c r="AA8" s="295"/>
      <c r="AB8" s="295"/>
      <c r="AC8" s="295"/>
    </row>
    <row r="9" spans="6:29" s="1950" customFormat="1" ht="22.5" customHeight="1">
      <c r="F9" s="1122"/>
      <c r="G9" s="1122"/>
      <c r="H9" s="1122"/>
      <c r="L9" s="1159"/>
      <c r="M9" s="213" t="s">
        <v>1484</v>
      </c>
      <c r="N9" s="222"/>
      <c r="O9" s="2228" t="str">
        <f>IF(TITLE_DATE_CHANGE_PERIOD="",IF(TITLE_DATE_PR="","",TITLE_DATE_PR),TITLE_DATE_CHANGE_PERIOD)</f>
        <v/>
      </c>
      <c r="P9" s="2228"/>
      <c r="Q9" s="2228"/>
      <c r="R9" s="2228"/>
      <c r="S9" s="2228"/>
      <c r="T9" s="2228"/>
      <c r="U9" s="2228"/>
      <c r="V9" s="253"/>
      <c r="W9" s="253"/>
      <c r="X9" s="199"/>
      <c r="Y9" s="295"/>
      <c r="Z9" s="295"/>
      <c r="AA9" s="295"/>
      <c r="AB9" s="295"/>
      <c r="AC9" s="295"/>
    </row>
    <row r="10" spans="6:29" s="1950" customFormat="1" ht="22.5" customHeight="1">
      <c r="F10" s="1122"/>
      <c r="G10" s="1122"/>
      <c r="H10" s="1122"/>
      <c r="L10" s="1124"/>
      <c r="M10" s="213" t="s">
        <v>1485</v>
      </c>
      <c r="N10" s="222"/>
      <c r="O10" s="2228" t="str">
        <f>IF(TITLE_NUMBER_PR_CHANGE="",IF(TITLE_NUMBER_PR="","",TITLE_NUMBER_PR),TITLE_NUMBER_PR_CHANGE)</f>
        <v/>
      </c>
      <c r="P10" s="2228"/>
      <c r="Q10" s="2228"/>
      <c r="R10" s="2228"/>
      <c r="S10" s="2228"/>
      <c r="T10" s="2228"/>
      <c r="U10" s="2228"/>
      <c r="V10" s="253"/>
      <c r="W10" s="253"/>
      <c r="X10" s="199"/>
      <c r="Y10" s="295"/>
      <c r="Z10" s="295"/>
      <c r="AA10" s="295"/>
      <c r="AB10" s="295"/>
      <c r="AC10" s="295"/>
    </row>
    <row r="11" spans="6:29" s="1950" customFormat="1" ht="22.5" customHeight="1">
      <c r="F11" s="1122"/>
      <c r="G11" s="1122"/>
      <c r="H11" s="1122"/>
      <c r="L11" s="1124"/>
      <c r="M11" s="213" t="s">
        <v>39</v>
      </c>
      <c r="N11" s="222"/>
      <c r="O11" s="2228" t="str">
        <f>IF(TITLE_IST_PUB_CHANGE="",IF(TITLE_IST_PUB="","",TITLE_IST_PUB),TITLE_IST_PUB_CHANGE)</f>
        <v/>
      </c>
      <c r="P11" s="2228"/>
      <c r="Q11" s="2228"/>
      <c r="R11" s="2228"/>
      <c r="S11" s="2228"/>
      <c r="T11" s="2228"/>
      <c r="U11" s="2228"/>
      <c r="V11" s="253"/>
      <c r="W11" s="253"/>
      <c r="X11" s="199"/>
      <c r="Y11" s="295"/>
      <c r="Z11" s="295"/>
      <c r="AA11" s="295"/>
      <c r="AB11" s="295"/>
      <c r="AC11" s="295"/>
    </row>
    <row r="12" spans="6:29" s="1950" customFormat="1" ht="11.25" hidden="1" customHeight="1">
      <c r="F12" s="1122"/>
      <c r="G12" s="1122"/>
      <c r="H12" s="1122"/>
      <c r="L12" s="2296"/>
      <c r="M12" s="2296"/>
      <c r="N12" s="1169"/>
      <c r="O12" s="253"/>
      <c r="P12" s="253"/>
      <c r="Q12" s="253"/>
      <c r="R12" s="253"/>
      <c r="S12" s="253"/>
      <c r="T12" s="253"/>
      <c r="U12" s="253"/>
      <c r="V12" s="197" t="s">
        <v>1488</v>
      </c>
      <c r="Y12" s="295"/>
      <c r="Z12" s="295"/>
      <c r="AA12" s="295"/>
      <c r="AB12" s="295"/>
      <c r="AC12" s="295"/>
    </row>
    <row r="13" spans="6:29" ht="14.25" customHeight="1">
      <c r="J13" s="304"/>
      <c r="K13" s="304"/>
      <c r="L13" s="1158"/>
      <c r="M13" s="289"/>
      <c r="N13" s="1117"/>
      <c r="O13" s="2246"/>
      <c r="P13" s="2246"/>
      <c r="Q13" s="2246"/>
      <c r="R13" s="2246"/>
      <c r="S13" s="2246"/>
      <c r="T13" s="2246"/>
      <c r="U13" s="2246"/>
      <c r="V13" s="2246"/>
    </row>
    <row r="14" spans="6:29" ht="14.25" customHeight="1">
      <c r="J14" s="304"/>
      <c r="K14" s="304"/>
      <c r="L14" s="2021" t="s">
        <v>292</v>
      </c>
      <c r="M14" s="2021"/>
      <c r="N14" s="2021"/>
      <c r="O14" s="2021"/>
      <c r="P14" s="2021"/>
      <c r="Q14" s="2021"/>
      <c r="R14" s="2021"/>
      <c r="S14" s="2021"/>
      <c r="T14" s="2021"/>
      <c r="U14" s="2021"/>
      <c r="V14" s="2021"/>
      <c r="W14" s="2021"/>
      <c r="X14" s="2021" t="s">
        <v>293</v>
      </c>
    </row>
    <row r="15" spans="6:29" ht="14.25" customHeight="1">
      <c r="J15" s="304"/>
      <c r="K15" s="304"/>
      <c r="L15" s="2247" t="s">
        <v>88</v>
      </c>
      <c r="M15" s="2111" t="s">
        <v>1489</v>
      </c>
      <c r="N15" s="219"/>
      <c r="O15" s="2248" t="s">
        <v>1554</v>
      </c>
      <c r="P15" s="2249"/>
      <c r="Q15" s="2249"/>
      <c r="R15" s="2249"/>
      <c r="S15" s="2249"/>
      <c r="T15" s="2249"/>
      <c r="U15" s="2250"/>
      <c r="V15" s="2251" t="s">
        <v>1491</v>
      </c>
      <c r="W15" s="2254" t="s">
        <v>1555</v>
      </c>
      <c r="X15" s="2021"/>
    </row>
    <row r="16" spans="6:29" ht="33.75" customHeight="1">
      <c r="J16" s="304"/>
      <c r="K16" s="304"/>
      <c r="L16" s="2247"/>
      <c r="M16" s="2111"/>
      <c r="N16" s="924"/>
      <c r="O16" s="2080" t="s">
        <v>1494</v>
      </c>
      <c r="P16" s="2080" t="s">
        <v>1495</v>
      </c>
      <c r="Q16" s="2003" t="s">
        <v>1496</v>
      </c>
      <c r="R16" s="2002"/>
      <c r="S16" s="2003" t="s">
        <v>1515</v>
      </c>
      <c r="T16" s="2008"/>
      <c r="U16" s="2002"/>
      <c r="V16" s="2252"/>
      <c r="W16" s="2255"/>
      <c r="X16" s="2021"/>
    </row>
    <row r="17" spans="1:29" ht="33.75" customHeight="1">
      <c r="A17" s="1142" t="s">
        <v>135</v>
      </c>
      <c r="B17" s="1142" t="s">
        <v>136</v>
      </c>
      <c r="C17" s="1142" t="s">
        <v>137</v>
      </c>
      <c r="D17" s="1142" t="s">
        <v>138</v>
      </c>
      <c r="E17" s="1142"/>
      <c r="J17" s="304"/>
      <c r="K17" s="304"/>
      <c r="L17" s="2247"/>
      <c r="M17" s="2111"/>
      <c r="N17" s="220"/>
      <c r="O17" s="2136"/>
      <c r="P17" s="2136"/>
      <c r="Q17" s="1092" t="s">
        <v>1505</v>
      </c>
      <c r="R17" s="1092" t="s">
        <v>1506</v>
      </c>
      <c r="S17" s="1174" t="s">
        <v>1507</v>
      </c>
      <c r="T17" s="2117" t="s">
        <v>1508</v>
      </c>
      <c r="U17" s="2131"/>
      <c r="V17" s="2253"/>
      <c r="W17" s="2256"/>
      <c r="X17" s="2021"/>
    </row>
    <row r="18" spans="1:29" s="1720" customFormat="1" ht="11.25" customHeight="1">
      <c r="A18" s="1142"/>
      <c r="B18" s="1142"/>
      <c r="C18" s="1142"/>
      <c r="D18" s="1142"/>
      <c r="E18" s="1142"/>
      <c r="F18" s="1168"/>
      <c r="G18" s="1168"/>
      <c r="H18" s="1168"/>
      <c r="I18" s="1119"/>
      <c r="J18" s="1120"/>
      <c r="K18" s="1135">
        <v>1</v>
      </c>
      <c r="L18" s="1160" t="s">
        <v>109</v>
      </c>
      <c r="M18" s="1136" t="s">
        <v>110</v>
      </c>
      <c r="N18" s="1118" t="str">
        <f ca="1">OFFSET(N18,0,-1)</f>
        <v>2</v>
      </c>
      <c r="O18" s="1171">
        <f ca="1">OFFSET(O18,0,-1)+1</f>
        <v>3</v>
      </c>
      <c r="P18" s="1171"/>
      <c r="Q18" s="1171">
        <f ca="1">OFFSET(Q18,0,-1)+1</f>
        <v>1</v>
      </c>
      <c r="R18" s="1171">
        <f ca="1">OFFSET(R18,0,-1)+1</f>
        <v>2</v>
      </c>
      <c r="S18" s="1171">
        <f ca="1">OFFSET(S18,0,-1)+1</f>
        <v>3</v>
      </c>
      <c r="T18" s="2245">
        <f ca="1">OFFSET(T18,0,-1)+1</f>
        <v>4</v>
      </c>
      <c r="U18" s="2245"/>
      <c r="V18" s="1171">
        <f ca="1">OFFSET(V18,0,-2)+1</f>
        <v>5</v>
      </c>
      <c r="W18" s="1118">
        <f ca="1">OFFSET(W18,0,-1)</f>
        <v>5</v>
      </c>
      <c r="X18" s="1171">
        <f ca="1">OFFSET(X18,0,-1)+1</f>
        <v>6</v>
      </c>
      <c r="Y18" s="439"/>
      <c r="Z18" s="439"/>
      <c r="AA18" s="439"/>
      <c r="AB18" s="439"/>
      <c r="AC18" s="439"/>
    </row>
    <row r="19" spans="1:29" ht="21" customHeight="1">
      <c r="A19" s="1149" t="s">
        <v>1564</v>
      </c>
      <c r="B19" s="1149" t="s">
        <v>1565</v>
      </c>
      <c r="C19" s="1149" t="s">
        <v>1566</v>
      </c>
      <c r="D19" s="1149" t="s">
        <v>1567</v>
      </c>
      <c r="E19" s="1149"/>
      <c r="F19" s="603"/>
      <c r="G19" s="603"/>
      <c r="H19" s="603"/>
      <c r="I19" s="285"/>
      <c r="J19" s="284"/>
      <c r="K19" s="279"/>
      <c r="L19" s="1175" t="e">
        <f>INDEX(PT_DIFFERENTIATION_NUM_NTAR,MATCH(A19,PT_DIFFERENTIATION_NTAR_ID,0))</f>
        <v>#N/A</v>
      </c>
      <c r="M19" s="216" t="s">
        <v>124</v>
      </c>
      <c r="N19" s="218"/>
      <c r="O19" s="2291" t="e">
        <f>INDEX(PT_DIFFERENTIATION_NTAR,MATCH(A19,PT_DIFFERENTIATION_NTAR_ID,0))</f>
        <v>#N/A</v>
      </c>
      <c r="P19" s="2291"/>
      <c r="Q19" s="2291"/>
      <c r="R19" s="2291"/>
      <c r="S19" s="2291"/>
      <c r="T19" s="2291"/>
      <c r="U19" s="2291"/>
      <c r="V19" s="2291"/>
      <c r="W19" s="2291"/>
      <c r="X19" s="1140" t="s">
        <v>1460</v>
      </c>
      <c r="Z19" s="428"/>
      <c r="AA19" s="428" t="str">
        <f t="shared" ref="AA19:AA32" si="0">IF(M19="","",M19)</f>
        <v>Наименование тарифа</v>
      </c>
      <c r="AB19" s="428"/>
      <c r="AC19" s="428"/>
    </row>
    <row r="20" spans="1:29" ht="21" customHeight="1">
      <c r="A20" s="1149" t="s">
        <v>1564</v>
      </c>
      <c r="B20" s="1149" t="s">
        <v>1565</v>
      </c>
      <c r="C20" s="1149" t="s">
        <v>1566</v>
      </c>
      <c r="D20" s="1149" t="s">
        <v>1567</v>
      </c>
      <c r="E20" s="1149"/>
      <c r="F20" s="603"/>
      <c r="G20" s="603"/>
      <c r="H20" s="603"/>
      <c r="I20" s="1172"/>
      <c r="J20" s="276"/>
      <c r="K20" s="277"/>
      <c r="L20" s="1175" t="e">
        <f>INDEX(PT_DIFFERENTIATION_NUM_TER,MATCH(B19,PT_DIFFERENTIATION_TER_ID,0))</f>
        <v>#N/A</v>
      </c>
      <c r="M20" s="228" t="s">
        <v>1461</v>
      </c>
      <c r="N20" s="218"/>
      <c r="O20" s="2291" t="e">
        <f>INDEX(PT_DIFFERENTIATION_TER,MATCH(B19,PT_DIFFERENTIATION_TER_ID,0))</f>
        <v>#N/A</v>
      </c>
      <c r="P20" s="2291"/>
      <c r="Q20" s="2291"/>
      <c r="R20" s="2291"/>
      <c r="S20" s="2291"/>
      <c r="T20" s="2291"/>
      <c r="U20" s="2291"/>
      <c r="V20" s="2291"/>
      <c r="W20" s="2291"/>
      <c r="X20" s="1140" t="s">
        <v>1462</v>
      </c>
      <c r="Z20" s="428"/>
      <c r="AA20" s="428" t="str">
        <f t="shared" si="0"/>
        <v>Территория действия тарифа</v>
      </c>
      <c r="AB20" s="428"/>
      <c r="AC20" s="428"/>
    </row>
    <row r="21" spans="1:29" ht="22.5" customHeight="1">
      <c r="A21" s="1149" t="s">
        <v>1564</v>
      </c>
      <c r="B21" s="1149" t="s">
        <v>1565</v>
      </c>
      <c r="C21" s="1149" t="s">
        <v>1566</v>
      </c>
      <c r="D21" s="1149" t="s">
        <v>1567</v>
      </c>
      <c r="E21" s="1149"/>
      <c r="F21" s="603"/>
      <c r="G21" s="603"/>
      <c r="H21" s="603"/>
      <c r="I21" s="278"/>
      <c r="J21" s="276"/>
      <c r="K21" s="277"/>
      <c r="L21" s="1175" t="e">
        <f>INDEX(PT_DIFFERENTIATION_NUM_CS,MATCH(C19,PT_DIFFERENTIATION_CS_ID,0))</f>
        <v>#N/A</v>
      </c>
      <c r="M21" s="229" t="s">
        <v>1463</v>
      </c>
      <c r="N21" s="218"/>
      <c r="O21" s="2291" t="e">
        <f>INDEX(PT_DIFFERENTIATION_CS,MATCH(C19,PT_DIFFERENTIATION_CS_ID,0))</f>
        <v>#N/A</v>
      </c>
      <c r="P21" s="2291"/>
      <c r="Q21" s="2291"/>
      <c r="R21" s="2291"/>
      <c r="S21" s="2291"/>
      <c r="T21" s="2291"/>
      <c r="U21" s="2291"/>
      <c r="V21" s="2291"/>
      <c r="W21" s="2291"/>
      <c r="X21" s="1140" t="s">
        <v>1464</v>
      </c>
      <c r="Z21" s="428"/>
      <c r="AA21" s="428" t="str">
        <f t="shared" si="0"/>
        <v xml:space="preserve">Наименование системы теплоснабжения </v>
      </c>
      <c r="AB21" s="428"/>
      <c r="AC21" s="428"/>
    </row>
    <row r="22" spans="1:29" ht="21" customHeight="1">
      <c r="A22" s="1149" t="s">
        <v>1564</v>
      </c>
      <c r="B22" s="1149" t="s">
        <v>1565</v>
      </c>
      <c r="C22" s="1149" t="s">
        <v>1566</v>
      </c>
      <c r="D22" s="1149" t="s">
        <v>1567</v>
      </c>
      <c r="E22" s="1149"/>
      <c r="F22" s="603"/>
      <c r="G22" s="603"/>
      <c r="H22" s="603"/>
      <c r="I22" s="278"/>
      <c r="J22" s="276"/>
      <c r="K22" s="277"/>
      <c r="L22" s="1175" t="e">
        <f>INDEX(PT_DIFFERENTIATION_NUM_IST_TE,MATCH(D19,PT_DIFFERENTIATION_IST_TE_ID,0))</f>
        <v>#N/A</v>
      </c>
      <c r="M22" s="230" t="s">
        <v>1465</v>
      </c>
      <c r="N22" s="218"/>
      <c r="O22" s="2291" t="e">
        <f>INDEX(PT_DIFFERENTIATION_IST_TE,MATCH(D19,PT_DIFFERENTIATION_IST_TE_ID,0))</f>
        <v>#N/A</v>
      </c>
      <c r="P22" s="2291"/>
      <c r="Q22" s="2291"/>
      <c r="R22" s="2291"/>
      <c r="S22" s="2291"/>
      <c r="T22" s="2291"/>
      <c r="U22" s="2291"/>
      <c r="V22" s="2291"/>
      <c r="W22" s="2291"/>
      <c r="X22" s="1140" t="s">
        <v>1466</v>
      </c>
      <c r="Z22" s="428"/>
      <c r="AA22" s="428" t="str">
        <f t="shared" si="0"/>
        <v xml:space="preserve">Источник тепловой энергии  </v>
      </c>
      <c r="AB22" s="428"/>
      <c r="AC22" s="428"/>
    </row>
    <row r="23" spans="1:29" ht="94.5" customHeight="1">
      <c r="A23" s="1149" t="s">
        <v>1564</v>
      </c>
      <c r="B23" s="1149" t="s">
        <v>1565</v>
      </c>
      <c r="C23" s="1149" t="s">
        <v>1566</v>
      </c>
      <c r="D23" s="1149" t="s">
        <v>1567</v>
      </c>
      <c r="E23" s="1149"/>
      <c r="F23" s="2006" t="e">
        <f>L22&amp;".1"</f>
        <v>#N/A</v>
      </c>
      <c r="I23" s="2157">
        <v>1</v>
      </c>
      <c r="J23" s="1173"/>
      <c r="K23" s="280"/>
      <c r="L23" s="1175" t="e">
        <f>$F$23</f>
        <v>#N/A</v>
      </c>
      <c r="M23" s="203" t="s">
        <v>1468</v>
      </c>
      <c r="N23" s="218"/>
      <c r="O23" s="2292"/>
      <c r="P23" s="2292"/>
      <c r="Q23" s="2292"/>
      <c r="R23" s="2292"/>
      <c r="S23" s="2292"/>
      <c r="T23" s="2292"/>
      <c r="U23" s="2292"/>
      <c r="V23" s="2292"/>
      <c r="W23" s="2292"/>
      <c r="X23" s="1140" t="s">
        <v>1469</v>
      </c>
      <c r="Z23" s="428"/>
      <c r="AA23" s="428" t="str">
        <f t="shared" si="0"/>
        <v>Схема подключения теплопотребляющей установки к коллектору источника тепловой энергии</v>
      </c>
      <c r="AB23" s="428"/>
      <c r="AC23" s="428"/>
    </row>
    <row r="24" spans="1:29" ht="84" customHeight="1">
      <c r="A24" s="1149" t="s">
        <v>1564</v>
      </c>
      <c r="B24" s="1149" t="s">
        <v>1565</v>
      </c>
      <c r="C24" s="1149" t="s">
        <v>1566</v>
      </c>
      <c r="D24" s="1149" t="s">
        <v>1567</v>
      </c>
      <c r="E24" s="1149"/>
      <c r="F24" s="2006"/>
      <c r="G24" s="2006" t="e">
        <f>F23&amp;".1"</f>
        <v>#N/A</v>
      </c>
      <c r="I24" s="2157"/>
      <c r="J24" s="2157">
        <v>1</v>
      </c>
      <c r="K24" s="281"/>
      <c r="L24" s="1175" t="e">
        <f>$G$24</f>
        <v>#N/A</v>
      </c>
      <c r="M24" s="204" t="s">
        <v>1471</v>
      </c>
      <c r="N24" s="218"/>
      <c r="O24" s="2293"/>
      <c r="P24" s="2294"/>
      <c r="Q24" s="2294"/>
      <c r="R24" s="2294"/>
      <c r="S24" s="2294"/>
      <c r="T24" s="2294"/>
      <c r="U24" s="2294"/>
      <c r="V24" s="2294"/>
      <c r="W24" s="2295"/>
      <c r="X24" s="1140" t="s">
        <v>1472</v>
      </c>
      <c r="Z24" s="428"/>
      <c r="AA24" s="428" t="str">
        <f t="shared" si="0"/>
        <v>Группа потребителей</v>
      </c>
      <c r="AB24" s="428"/>
      <c r="AC24" s="428"/>
    </row>
    <row r="25" spans="1:29" ht="11.25" customHeight="1">
      <c r="A25" s="1149" t="s">
        <v>1564</v>
      </c>
      <c r="B25" s="1149" t="s">
        <v>1565</v>
      </c>
      <c r="C25" s="1149" t="s">
        <v>1566</v>
      </c>
      <c r="D25" s="1149" t="s">
        <v>1567</v>
      </c>
      <c r="E25" s="1149"/>
      <c r="F25" s="2006"/>
      <c r="G25" s="2006"/>
      <c r="H25" s="2006" t="e">
        <f>G24&amp;".1"</f>
        <v>#N/A</v>
      </c>
      <c r="I25" s="2157"/>
      <c r="J25" s="2157"/>
      <c r="K25" s="281">
        <v>1</v>
      </c>
      <c r="L25" s="1175" t="e">
        <f>$H$25</f>
        <v>#N/A</v>
      </c>
      <c r="M25" s="1141"/>
      <c r="N25" s="218"/>
      <c r="O25" s="1667"/>
      <c r="P25" s="1668"/>
      <c r="Q25" s="1667"/>
      <c r="R25" s="1669"/>
      <c r="S25" s="2239"/>
      <c r="T25" s="2031" t="s">
        <v>66</v>
      </c>
      <c r="U25" s="2239"/>
      <c r="V25" s="2031" t="s">
        <v>56</v>
      </c>
      <c r="W25" s="1668"/>
      <c r="X25" s="2257" t="s">
        <v>1474</v>
      </c>
      <c r="Y25" s="439" t="e">
        <f ca="1">STRCHECKDATE(O26:W26)</f>
        <v>#NAME?</v>
      </c>
      <c r="Z25" s="428"/>
      <c r="AA25" s="428" t="str">
        <f t="shared" si="0"/>
        <v/>
      </c>
      <c r="AB25" s="428"/>
      <c r="AC25" s="428"/>
    </row>
    <row r="26" spans="1:29" ht="11.25" customHeight="1">
      <c r="A26" s="1149" t="s">
        <v>1564</v>
      </c>
      <c r="B26" s="1149" t="s">
        <v>1565</v>
      </c>
      <c r="C26" s="1149" t="s">
        <v>1566</v>
      </c>
      <c r="D26" s="1149" t="s">
        <v>1567</v>
      </c>
      <c r="E26" s="1149"/>
      <c r="F26" s="2006"/>
      <c r="G26" s="2006"/>
      <c r="H26" s="2006"/>
      <c r="I26" s="2157"/>
      <c r="J26" s="2157"/>
      <c r="K26" s="281"/>
      <c r="L26" s="1176"/>
      <c r="M26" s="218"/>
      <c r="N26" s="218"/>
      <c r="O26" s="1668"/>
      <c r="P26" s="1668"/>
      <c r="Q26" s="1668"/>
      <c r="R26" s="1670" t="str">
        <f>S25&amp;"-"&amp;U25</f>
        <v>-</v>
      </c>
      <c r="S26" s="2240"/>
      <c r="T26" s="2031"/>
      <c r="U26" s="2240"/>
      <c r="V26" s="2031"/>
      <c r="W26" s="1668"/>
      <c r="X26" s="2258"/>
      <c r="Z26" s="428"/>
      <c r="AA26" s="428" t="str">
        <f t="shared" si="0"/>
        <v/>
      </c>
      <c r="AB26" s="428"/>
      <c r="AC26" s="428"/>
    </row>
    <row r="27" spans="1:29" ht="15" customHeight="1">
      <c r="A27" s="1149" t="s">
        <v>1564</v>
      </c>
      <c r="B27" s="1149" t="s">
        <v>1565</v>
      </c>
      <c r="C27" s="1149" t="s">
        <v>1566</v>
      </c>
      <c r="D27" s="1149" t="s">
        <v>1567</v>
      </c>
      <c r="E27" s="1149"/>
      <c r="F27" s="2006"/>
      <c r="G27" s="2006"/>
      <c r="I27" s="2157"/>
      <c r="J27" s="2157"/>
      <c r="K27" s="280"/>
      <c r="L27" s="1161"/>
      <c r="M27" s="206" t="s">
        <v>1475</v>
      </c>
      <c r="N27" s="294"/>
      <c r="O27" s="294"/>
      <c r="P27" s="294"/>
      <c r="Q27" s="294"/>
      <c r="R27" s="294"/>
      <c r="S27" s="294"/>
      <c r="T27" s="294"/>
      <c r="U27" s="294"/>
      <c r="V27" s="294"/>
      <c r="W27" s="251"/>
      <c r="X27" s="2259"/>
      <c r="Z27" s="428"/>
      <c r="AA27" s="428" t="str">
        <f t="shared" si="0"/>
        <v>Добавить вид теплоносителя (параметры теплоносителя)</v>
      </c>
      <c r="AB27" s="428"/>
      <c r="AC27" s="428"/>
    </row>
    <row r="28" spans="1:29" ht="15" customHeight="1">
      <c r="A28" s="1149" t="s">
        <v>1564</v>
      </c>
      <c r="B28" s="1149" t="s">
        <v>1565</v>
      </c>
      <c r="C28" s="1149" t="s">
        <v>1566</v>
      </c>
      <c r="D28" s="1149" t="s">
        <v>1567</v>
      </c>
      <c r="E28" s="1149"/>
      <c r="F28" s="2006"/>
      <c r="I28" s="2157"/>
      <c r="J28" s="1173"/>
      <c r="K28" s="280"/>
      <c r="L28" s="1161"/>
      <c r="M28" s="205" t="s">
        <v>1476</v>
      </c>
      <c r="N28" s="294"/>
      <c r="O28" s="294"/>
      <c r="P28" s="294"/>
      <c r="Q28" s="294"/>
      <c r="R28" s="294"/>
      <c r="S28" s="294"/>
      <c r="T28" s="294"/>
      <c r="U28" s="294"/>
      <c r="V28" s="293"/>
      <c r="W28" s="294"/>
      <c r="X28" s="221"/>
      <c r="Z28" s="428"/>
      <c r="AA28" s="428" t="str">
        <f t="shared" si="0"/>
        <v>Добавить группу потребителей</v>
      </c>
      <c r="AB28" s="428"/>
      <c r="AC28" s="428"/>
    </row>
    <row r="29" spans="1:29" ht="14.25" customHeight="1">
      <c r="A29" s="1149" t="s">
        <v>1564</v>
      </c>
      <c r="B29" s="1149" t="s">
        <v>1565</v>
      </c>
      <c r="C29" s="1149" t="s">
        <v>1566</v>
      </c>
      <c r="D29" s="1149" t="s">
        <v>1567</v>
      </c>
      <c r="E29" s="1149"/>
      <c r="F29" s="603"/>
      <c r="G29" s="603"/>
      <c r="H29" s="437"/>
      <c r="I29" s="284"/>
      <c r="J29" s="303"/>
      <c r="K29" s="279"/>
      <c r="L29" s="1161"/>
      <c r="M29" s="291" t="s">
        <v>1477</v>
      </c>
      <c r="N29" s="294"/>
      <c r="O29" s="294"/>
      <c r="P29" s="294"/>
      <c r="Q29" s="294"/>
      <c r="R29" s="294"/>
      <c r="S29" s="294"/>
      <c r="T29" s="294"/>
      <c r="U29" s="294"/>
      <c r="V29" s="293"/>
      <c r="W29" s="294"/>
      <c r="X29" s="221"/>
      <c r="Z29" s="428"/>
      <c r="AA29" s="428" t="str">
        <f t="shared" si="0"/>
        <v>Добавить схему подключения</v>
      </c>
      <c r="AB29" s="428"/>
      <c r="AC29" s="428"/>
    </row>
    <row r="30" spans="1:29" ht="14.25" customHeight="1">
      <c r="A30" s="1149" t="s">
        <v>1564</v>
      </c>
      <c r="B30" s="1149" t="s">
        <v>1565</v>
      </c>
      <c r="C30" s="1149" t="s">
        <v>1566</v>
      </c>
      <c r="D30" s="1149"/>
      <c r="E30" s="1149" t="s">
        <v>1556</v>
      </c>
      <c r="F30" s="603"/>
      <c r="G30" s="603"/>
      <c r="H30" s="437"/>
      <c r="I30" s="284"/>
      <c r="J30" s="303"/>
      <c r="K30" s="279"/>
      <c r="L30" s="1162"/>
      <c r="M30" s="1151"/>
      <c r="N30" s="1152"/>
      <c r="O30" s="1152"/>
      <c r="P30" s="1152"/>
      <c r="Q30" s="1152"/>
      <c r="R30" s="1152"/>
      <c r="S30" s="1152"/>
      <c r="T30" s="1152"/>
      <c r="U30" s="1152"/>
      <c r="V30" s="1153"/>
      <c r="W30" s="1152"/>
      <c r="X30" s="1154"/>
      <c r="Z30" s="428"/>
      <c r="AA30" s="428" t="str">
        <f t="shared" si="0"/>
        <v/>
      </c>
      <c r="AB30" s="428"/>
      <c r="AC30" s="428"/>
    </row>
    <row r="31" spans="1:29" ht="14.25" customHeight="1">
      <c r="A31" s="1149" t="s">
        <v>1564</v>
      </c>
      <c r="B31" s="1149" t="s">
        <v>1565</v>
      </c>
      <c r="C31" s="1149"/>
      <c r="D31" s="1149"/>
      <c r="E31" s="1149" t="s">
        <v>1557</v>
      </c>
      <c r="F31" s="1138"/>
      <c r="G31" s="1138"/>
      <c r="H31" s="437"/>
      <c r="I31" s="282"/>
      <c r="J31" s="303"/>
      <c r="K31" s="283"/>
      <c r="L31" s="1162"/>
      <c r="M31" s="1155"/>
      <c r="N31" s="1152"/>
      <c r="O31" s="1152"/>
      <c r="P31" s="1152"/>
      <c r="Q31" s="1152"/>
      <c r="R31" s="1152"/>
      <c r="S31" s="1152"/>
      <c r="T31" s="1152"/>
      <c r="U31" s="1152"/>
      <c r="V31" s="1153"/>
      <c r="W31" s="1152"/>
      <c r="X31" s="1154"/>
      <c r="Z31" s="428"/>
      <c r="AA31" s="428" t="str">
        <f t="shared" si="0"/>
        <v/>
      </c>
      <c r="AB31" s="428"/>
      <c r="AC31" s="428"/>
    </row>
    <row r="32" spans="1:29" ht="14.25" customHeight="1">
      <c r="A32" s="1149" t="s">
        <v>1568</v>
      </c>
      <c r="B32" s="1149"/>
      <c r="C32" s="1149"/>
      <c r="D32" s="1149"/>
      <c r="E32" s="1149" t="s">
        <v>104</v>
      </c>
      <c r="F32" s="1138"/>
      <c r="G32" s="1138"/>
      <c r="H32" s="437"/>
      <c r="I32" s="284"/>
      <c r="J32" s="303"/>
      <c r="K32" s="279"/>
      <c r="L32" s="1162"/>
      <c r="M32" s="1156"/>
      <c r="N32" s="1152"/>
      <c r="O32" s="1152"/>
      <c r="P32" s="1152"/>
      <c r="Q32" s="1152"/>
      <c r="R32" s="1152"/>
      <c r="S32" s="1152"/>
      <c r="T32" s="1152"/>
      <c r="U32" s="1152"/>
      <c r="V32" s="1153"/>
      <c r="W32" s="1152"/>
      <c r="X32" s="1154"/>
      <c r="Z32" s="428"/>
      <c r="AA32" s="428" t="str">
        <f t="shared" si="0"/>
        <v/>
      </c>
      <c r="AB32" s="428"/>
      <c r="AC32" s="428"/>
    </row>
    <row r="33" spans="1:29" s="1753" customFormat="1" ht="11.25" customHeight="1">
      <c r="A33" s="1149"/>
      <c r="B33" s="1149"/>
      <c r="C33" s="1149"/>
      <c r="D33" s="1149"/>
      <c r="E33" s="1149" t="s">
        <v>1439</v>
      </c>
      <c r="F33" s="1150"/>
      <c r="G33" s="1139"/>
      <c r="H33" s="437"/>
      <c r="L33" s="1163"/>
      <c r="M33" s="1157"/>
      <c r="N33" s="1152"/>
      <c r="O33" s="1152"/>
      <c r="P33" s="1152"/>
      <c r="Q33" s="1152"/>
      <c r="R33" s="1152"/>
      <c r="S33" s="1152"/>
      <c r="T33" s="1152"/>
      <c r="U33" s="1152"/>
      <c r="V33" s="1153"/>
      <c r="W33" s="1152"/>
      <c r="X33" s="1154"/>
      <c r="Y33" s="309"/>
      <c r="Z33" s="309"/>
      <c r="AA33" s="309"/>
      <c r="AB33" s="309"/>
      <c r="AC33" s="309"/>
    </row>
    <row r="34" spans="1:29" ht="11.25" customHeight="1">
      <c r="F34" s="1031"/>
      <c r="G34" s="1031"/>
      <c r="H34" s="437"/>
      <c r="I34" s="1031"/>
      <c r="J34" s="1031"/>
      <c r="K34" s="1031"/>
      <c r="Y34" s="1031"/>
      <c r="Z34" s="1031"/>
      <c r="AA34" s="1031"/>
      <c r="AB34" s="1031"/>
      <c r="AC34" s="1031"/>
    </row>
    <row r="35" spans="1:29" ht="27" customHeight="1">
      <c r="H35" s="437"/>
      <c r="L35" s="1170" t="s">
        <v>1509</v>
      </c>
      <c r="M35" s="2234" t="s">
        <v>1516</v>
      </c>
      <c r="N35" s="2234"/>
      <c r="O35" s="2234"/>
      <c r="P35" s="2234"/>
      <c r="Q35" s="2234"/>
      <c r="R35" s="2234"/>
      <c r="S35" s="2234"/>
      <c r="T35" s="2234"/>
      <c r="U35" s="2234"/>
      <c r="V35" s="2234"/>
      <c r="W35" s="2234"/>
      <c r="X35" s="2234"/>
    </row>
    <row r="36" spans="1:29" ht="104.25" customHeight="1">
      <c r="F36" s="1189"/>
      <c r="G36" s="1189"/>
      <c r="H36" s="437"/>
      <c r="I36" s="1189"/>
      <c r="M36" s="2234" t="s">
        <v>1511</v>
      </c>
      <c r="N36" s="2234"/>
      <c r="O36" s="2234"/>
      <c r="P36" s="2234"/>
      <c r="Q36" s="2234"/>
      <c r="R36" s="2234"/>
      <c r="S36" s="2234"/>
      <c r="T36" s="2234"/>
      <c r="U36" s="2234"/>
      <c r="V36" s="2234"/>
      <c r="W36" s="2234"/>
      <c r="X36" s="2234"/>
    </row>
    <row r="37" spans="1:29" ht="14.25" customHeight="1">
      <c r="H37" s="437"/>
    </row>
    <row r="38" spans="1:29" ht="14.25" customHeight="1">
      <c r="H38" s="437"/>
    </row>
    <row r="39" spans="1:29" ht="14.25" customHeight="1">
      <c r="H39" s="437"/>
    </row>
    <row r="40" spans="1:29" ht="14.25" customHeight="1">
      <c r="H40" s="437"/>
    </row>
  </sheetData>
  <sheetProtection formatColumns="0" formatRows="0" insertRows="0" deleteColumns="0" deleteRows="0" sort="0" autoFilter="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32"/>
  <sheetViews>
    <sheetView showGridLines="0" topLeftCell="A4" workbookViewId="0"/>
  </sheetViews>
  <sheetFormatPr defaultColWidth="10.5703125" defaultRowHeight="14.25" customHeight="1"/>
  <cols>
    <col min="1" max="6" width="10.5703125" style="1772"/>
    <col min="7" max="8" width="9.140625" style="1695" customWidth="1"/>
    <col min="9" max="9" width="3.7109375" style="1740" customWidth="1"/>
    <col min="10" max="11" width="3.7109375" style="1677" customWidth="1"/>
    <col min="12" max="12" width="12.7109375" style="1846" customWidth="1"/>
    <col min="13" max="13" width="47.42578125" style="1846" customWidth="1"/>
    <col min="14" max="14" width="2.7109375" style="1846" hidden="1" customWidth="1"/>
    <col min="15" max="18" width="23.7109375" style="1846" customWidth="1"/>
    <col min="19" max="19" width="11.7109375" style="1846" customWidth="1"/>
    <col min="20" max="20" width="3.7109375" style="1846" customWidth="1"/>
    <col min="21" max="21" width="11.7109375" style="1846" customWidth="1"/>
    <col min="22" max="22" width="8.5703125" style="1846" hidden="1" customWidth="1"/>
    <col min="23" max="23" width="4.7109375" style="1846" customWidth="1"/>
    <col min="24" max="24" width="115.7109375" style="1846" customWidth="1"/>
    <col min="25" max="29" width="10.5703125" style="1772"/>
  </cols>
  <sheetData>
    <row r="1" spans="1:29" ht="14.25" hidden="1" customHeight="1"/>
    <row r="2" spans="1:29" ht="14.25" hidden="1" customHeight="1"/>
    <row r="3" spans="1:29" ht="14.25" hidden="1" customHeight="1"/>
    <row r="4" spans="1:29" ht="14.25" customHeight="1">
      <c r="J4" s="304"/>
      <c r="K4" s="304"/>
      <c r="L4" s="289"/>
      <c r="M4" s="289"/>
      <c r="N4" s="289"/>
      <c r="O4" s="437"/>
      <c r="P4" s="437"/>
      <c r="Q4" s="437"/>
      <c r="R4" s="437"/>
      <c r="S4" s="437"/>
      <c r="T4" s="437"/>
      <c r="U4" s="437"/>
      <c r="V4" s="289"/>
    </row>
    <row r="5" spans="1:29" ht="14.25" customHeight="1">
      <c r="J5" s="304"/>
      <c r="K5" s="304"/>
      <c r="L5" s="2301" t="s">
        <v>1569</v>
      </c>
      <c r="M5" s="2301"/>
      <c r="N5" s="2301"/>
      <c r="O5" s="2301"/>
      <c r="P5" s="2301"/>
      <c r="Q5" s="2301"/>
      <c r="R5" s="2301"/>
      <c r="S5" s="2301"/>
      <c r="T5" s="2301"/>
      <c r="U5" s="195"/>
      <c r="V5" s="195"/>
    </row>
    <row r="6" spans="1:29" ht="14.25" customHeight="1">
      <c r="J6" s="304"/>
      <c r="K6" s="304"/>
      <c r="L6" s="289"/>
      <c r="M6" s="289"/>
      <c r="N6" s="289"/>
      <c r="O6" s="248"/>
      <c r="P6" s="248"/>
      <c r="Q6" s="248"/>
      <c r="R6" s="248"/>
      <c r="S6" s="248"/>
      <c r="T6" s="248"/>
      <c r="U6" s="289"/>
    </row>
    <row r="7" spans="1:29" s="1950" customFormat="1" ht="22.5" customHeight="1">
      <c r="A7" s="295"/>
      <c r="B7" s="295"/>
      <c r="C7" s="295"/>
      <c r="D7" s="295"/>
      <c r="E7" s="295"/>
      <c r="F7" s="295"/>
      <c r="G7" s="295"/>
      <c r="H7" s="295"/>
      <c r="L7" s="196"/>
      <c r="M7" s="213" t="s">
        <v>38</v>
      </c>
      <c r="N7" s="222"/>
      <c r="O7" s="2302" t="e">
        <f>IF(NameOrPr_ch="",IF(NameOrPr="","",NameOrPr),NameOrPr_ch)</f>
        <v>#NAME?</v>
      </c>
      <c r="P7" s="2303"/>
      <c r="Q7" s="2303"/>
      <c r="R7" s="2303"/>
      <c r="S7" s="2303"/>
      <c r="T7" s="2304"/>
      <c r="U7" s="1121"/>
      <c r="Y7" s="295"/>
      <c r="Z7" s="295"/>
      <c r="AA7" s="295"/>
      <c r="AB7" s="295"/>
      <c r="AC7" s="295"/>
    </row>
    <row r="8" spans="1:29" s="1950" customFormat="1" ht="18.75" customHeight="1">
      <c r="A8" s="295"/>
      <c r="B8" s="295"/>
      <c r="C8" s="295"/>
      <c r="D8" s="295"/>
      <c r="E8" s="295"/>
      <c r="F8" s="295"/>
      <c r="G8" s="295"/>
      <c r="H8" s="295"/>
      <c r="L8" s="196"/>
      <c r="M8" s="213" t="s">
        <v>1484</v>
      </c>
      <c r="N8" s="222"/>
      <c r="O8" s="2302" t="e">
        <f>IF(datePr_ch="",IF(datePr="","",datePr),datePr_ch)</f>
        <v>#NAME?</v>
      </c>
      <c r="P8" s="2303"/>
      <c r="Q8" s="2303"/>
      <c r="R8" s="2303"/>
      <c r="S8" s="2303"/>
      <c r="T8" s="2304"/>
      <c r="U8" s="1121"/>
      <c r="Y8" s="295"/>
      <c r="Z8" s="295"/>
      <c r="AA8" s="295"/>
      <c r="AB8" s="295"/>
      <c r="AC8" s="295"/>
    </row>
    <row r="9" spans="1:29" s="1950" customFormat="1" ht="18.75" customHeight="1">
      <c r="A9" s="295"/>
      <c r="B9" s="295"/>
      <c r="C9" s="295"/>
      <c r="D9" s="295"/>
      <c r="E9" s="295"/>
      <c r="F9" s="295"/>
      <c r="G9" s="295"/>
      <c r="H9" s="295"/>
      <c r="L9" s="250"/>
      <c r="M9" s="213" t="s">
        <v>1485</v>
      </c>
      <c r="N9" s="222"/>
      <c r="O9" s="2302" t="e">
        <f>IF(numberPr_ch="",IF(numberPr="","",numberPr),numberPr_ch)</f>
        <v>#NAME?</v>
      </c>
      <c r="P9" s="2303"/>
      <c r="Q9" s="2303"/>
      <c r="R9" s="2303"/>
      <c r="S9" s="2303"/>
      <c r="T9" s="2304"/>
      <c r="U9" s="1121"/>
      <c r="Y9" s="295"/>
      <c r="Z9" s="295"/>
      <c r="AA9" s="295"/>
      <c r="AB9" s="295"/>
      <c r="AC9" s="295"/>
    </row>
    <row r="10" spans="1:29" s="1950" customFormat="1" ht="18.75" customHeight="1">
      <c r="A10" s="295"/>
      <c r="B10" s="295"/>
      <c r="C10" s="295"/>
      <c r="D10" s="295"/>
      <c r="E10" s="295"/>
      <c r="F10" s="295"/>
      <c r="G10" s="295"/>
      <c r="H10" s="295"/>
      <c r="L10" s="250"/>
      <c r="M10" s="213" t="s">
        <v>39</v>
      </c>
      <c r="N10" s="222"/>
      <c r="O10" s="2302" t="e">
        <f>IF(IstPub_ch="",IF(IstPub="","",IstPub),IstPub_ch)</f>
        <v>#NAME?</v>
      </c>
      <c r="P10" s="2303"/>
      <c r="Q10" s="2303"/>
      <c r="R10" s="2303"/>
      <c r="S10" s="2303"/>
      <c r="T10" s="2304"/>
      <c r="U10" s="1121"/>
      <c r="Y10" s="295"/>
      <c r="Z10" s="295"/>
      <c r="AA10" s="295"/>
      <c r="AB10" s="295"/>
      <c r="AC10" s="295"/>
    </row>
    <row r="11" spans="1:29" s="1950" customFormat="1" ht="18.75" hidden="1" customHeight="1">
      <c r="A11" s="1125"/>
      <c r="B11" s="1125"/>
      <c r="C11" s="1125"/>
      <c r="D11" s="1125"/>
      <c r="E11" s="1125"/>
      <c r="F11" s="1125"/>
      <c r="G11" s="1125"/>
      <c r="H11" s="1125"/>
      <c r="L11" s="250"/>
      <c r="M11" s="247"/>
      <c r="O11" s="1126"/>
      <c r="P11" s="1126"/>
      <c r="Q11" s="295" t="s">
        <v>1570</v>
      </c>
      <c r="R11" s="295" t="s">
        <v>1571</v>
      </c>
      <c r="S11" s="1126"/>
      <c r="T11" s="1126"/>
      <c r="U11" s="1121"/>
      <c r="Y11" s="1125"/>
      <c r="Z11" s="1125"/>
      <c r="AA11" s="1125"/>
      <c r="AB11" s="1125"/>
      <c r="AC11" s="1125"/>
    </row>
    <row r="12" spans="1:29" s="1950" customFormat="1" ht="11.25" hidden="1" customHeight="1">
      <c r="A12" s="295"/>
      <c r="B12" s="295"/>
      <c r="C12" s="295"/>
      <c r="D12" s="295"/>
      <c r="E12" s="295"/>
      <c r="F12" s="295"/>
      <c r="G12" s="295"/>
      <c r="H12" s="295"/>
      <c r="L12" s="2296"/>
      <c r="M12" s="2296"/>
      <c r="N12" s="1088"/>
      <c r="O12" s="253"/>
      <c r="P12" s="253"/>
      <c r="Q12" s="253"/>
      <c r="R12" s="253"/>
      <c r="S12" s="253"/>
      <c r="T12" s="253"/>
      <c r="U12" s="1124"/>
      <c r="V12" s="197" t="s">
        <v>1488</v>
      </c>
      <c r="Y12" s="295"/>
      <c r="Z12" s="295"/>
      <c r="AA12" s="295"/>
      <c r="AB12" s="295"/>
      <c r="AC12" s="295"/>
    </row>
    <row r="13" spans="1:29" ht="14.25" customHeight="1">
      <c r="J13" s="304"/>
      <c r="K13" s="304"/>
      <c r="L13" s="289"/>
      <c r="M13" s="289"/>
      <c r="N13" s="289"/>
      <c r="O13" s="1127"/>
      <c r="P13" s="1127"/>
      <c r="Q13" s="2299"/>
      <c r="R13" s="2299"/>
      <c r="S13" s="2299"/>
      <c r="T13" s="2299"/>
      <c r="U13" s="2299"/>
      <c r="V13" s="2299"/>
    </row>
    <row r="14" spans="1:29" ht="14.25" customHeight="1">
      <c r="J14" s="304"/>
      <c r="K14" s="304"/>
      <c r="L14" s="2021" t="s">
        <v>292</v>
      </c>
      <c r="M14" s="2021"/>
      <c r="N14" s="2021"/>
      <c r="O14" s="2021"/>
      <c r="P14" s="2021"/>
      <c r="Q14" s="2021"/>
      <c r="R14" s="2021"/>
      <c r="S14" s="2021"/>
      <c r="T14" s="2021"/>
      <c r="U14" s="2021"/>
      <c r="V14" s="2021"/>
      <c r="W14" s="2021"/>
      <c r="X14" s="2021" t="s">
        <v>293</v>
      </c>
    </row>
    <row r="15" spans="1:29" ht="14.25" customHeight="1">
      <c r="J15" s="304"/>
      <c r="K15" s="304"/>
      <c r="L15" s="2111" t="s">
        <v>88</v>
      </c>
      <c r="M15" s="2111" t="s">
        <v>1572</v>
      </c>
      <c r="N15" s="1087"/>
      <c r="O15" s="2111" t="s">
        <v>1573</v>
      </c>
      <c r="P15" s="2110" t="s">
        <v>1574</v>
      </c>
      <c r="Q15" s="2110" t="s">
        <v>1554</v>
      </c>
      <c r="R15" s="2110"/>
      <c r="S15" s="2110"/>
      <c r="T15" s="2110"/>
      <c r="U15" s="2110"/>
      <c r="V15" s="2111" t="s">
        <v>1491</v>
      </c>
      <c r="W15" s="2300" t="s">
        <v>1555</v>
      </c>
      <c r="X15" s="2021"/>
    </row>
    <row r="16" spans="1:29" ht="25.5" customHeight="1">
      <c r="J16" s="304"/>
      <c r="K16" s="304"/>
      <c r="L16" s="2111"/>
      <c r="M16" s="2111"/>
      <c r="N16" s="1087"/>
      <c r="O16" s="2111"/>
      <c r="P16" s="2110"/>
      <c r="Q16" s="2110" t="s">
        <v>1575</v>
      </c>
      <c r="R16" s="2110"/>
      <c r="S16" s="2021" t="s">
        <v>1515</v>
      </c>
      <c r="T16" s="2021"/>
      <c r="U16" s="2021"/>
      <c r="V16" s="2111"/>
      <c r="W16" s="2300"/>
      <c r="X16" s="2021"/>
    </row>
    <row r="17" spans="1:29" ht="14.25" customHeight="1">
      <c r="J17" s="304"/>
      <c r="K17" s="304"/>
      <c r="L17" s="2111"/>
      <c r="M17" s="2111"/>
      <c r="N17" s="1087"/>
      <c r="O17" s="2111"/>
      <c r="P17" s="2110"/>
      <c r="Q17" s="1087" t="s">
        <v>1550</v>
      </c>
      <c r="R17" s="1087" t="s">
        <v>1551</v>
      </c>
      <c r="S17" s="1091" t="s">
        <v>1507</v>
      </c>
      <c r="T17" s="2078" t="s">
        <v>1508</v>
      </c>
      <c r="U17" s="2078"/>
      <c r="V17" s="2111"/>
      <c r="W17" s="2300"/>
      <c r="X17" s="2021"/>
    </row>
    <row r="18" spans="1:29" ht="14.25" customHeight="1">
      <c r="J18" s="304"/>
      <c r="K18" s="209">
        <v>1</v>
      </c>
      <c r="L18" s="382" t="s">
        <v>109</v>
      </c>
      <c r="M18" s="382" t="s">
        <v>110</v>
      </c>
      <c r="N18" s="1123" t="s">
        <v>110</v>
      </c>
      <c r="O18" s="1089">
        <f t="shared" ref="O18:T18" ca="1" si="0">OFFSET(O18,0,-1)+1</f>
        <v>3</v>
      </c>
      <c r="P18" s="1089">
        <f t="shared" ca="1" si="0"/>
        <v>4</v>
      </c>
      <c r="Q18" s="1089">
        <f t="shared" ca="1" si="0"/>
        <v>5</v>
      </c>
      <c r="R18" s="1089">
        <f t="shared" ca="1" si="0"/>
        <v>6</v>
      </c>
      <c r="S18" s="1089">
        <f t="shared" ca="1" si="0"/>
        <v>7</v>
      </c>
      <c r="T18" s="2297">
        <f t="shared" ca="1" si="0"/>
        <v>8</v>
      </c>
      <c r="U18" s="2297"/>
      <c r="V18" s="1089">
        <f ca="1">OFFSET(V18,0,-2)+1</f>
        <v>9</v>
      </c>
      <c r="X18" s="1089">
        <f ca="1">OFFSET(X18,0,-2)+1</f>
        <v>10</v>
      </c>
    </row>
    <row r="19" spans="1:29" ht="22.5" customHeight="1">
      <c r="A19" s="2157">
        <v>1</v>
      </c>
      <c r="B19" s="446"/>
      <c r="C19" s="446"/>
      <c r="D19" s="446"/>
      <c r="E19" s="446"/>
      <c r="F19" s="446"/>
      <c r="G19" s="310"/>
      <c r="H19" s="310"/>
      <c r="I19" s="285"/>
      <c r="J19" s="304"/>
      <c r="K19" s="304"/>
      <c r="L19" s="1096" t="e">
        <f ca="1">MERGEVALUE(A19)</f>
        <v>#NAME?</v>
      </c>
      <c r="M19" s="216" t="s">
        <v>124</v>
      </c>
      <c r="N19" s="235"/>
      <c r="O19" s="2298"/>
      <c r="P19" s="2298"/>
      <c r="Q19" s="2298"/>
      <c r="R19" s="2298"/>
      <c r="S19" s="2298"/>
      <c r="T19" s="2298"/>
      <c r="U19" s="2298"/>
      <c r="V19" s="2298"/>
      <c r="W19" s="2298"/>
      <c r="X19" s="269" t="s">
        <v>1460</v>
      </c>
    </row>
    <row r="20" spans="1:29" ht="22.5" customHeight="1">
      <c r="A20" s="2157"/>
      <c r="B20" s="2157">
        <v>1</v>
      </c>
      <c r="C20" s="446"/>
      <c r="D20" s="446"/>
      <c r="E20" s="446"/>
      <c r="F20" s="446"/>
      <c r="G20" s="312"/>
      <c r="H20" s="1090"/>
      <c r="I20" s="287"/>
      <c r="J20" s="1097"/>
      <c r="K20" s="1031"/>
      <c r="L20" s="1096" t="e">
        <f ca="1">MERGEVALUE(A20)&amp;"."&amp;MERGEVALUE(B20)</f>
        <v>#NAME?</v>
      </c>
      <c r="M20" s="228" t="s">
        <v>1461</v>
      </c>
      <c r="N20" s="235"/>
      <c r="O20" s="2298"/>
      <c r="P20" s="2298"/>
      <c r="Q20" s="2298"/>
      <c r="R20" s="2298"/>
      <c r="S20" s="2298"/>
      <c r="T20" s="2298"/>
      <c r="U20" s="2298"/>
      <c r="V20" s="2298"/>
      <c r="W20" s="2298"/>
      <c r="X20" s="269" t="s">
        <v>1462</v>
      </c>
    </row>
    <row r="21" spans="1:29" ht="22.5" customHeight="1">
      <c r="A21" s="2157"/>
      <c r="B21" s="2157"/>
      <c r="C21" s="2157">
        <v>1</v>
      </c>
      <c r="D21" s="446"/>
      <c r="E21" s="446"/>
      <c r="F21" s="446"/>
      <c r="G21" s="312"/>
      <c r="H21" s="1090"/>
      <c r="I21" s="288"/>
      <c r="J21" s="1097"/>
      <c r="K21" s="1031"/>
      <c r="L21" s="1096" t="e">
        <f ca="1">MERGEVALUE(A21)&amp;"."&amp;MERGEVALUE(B21)&amp;"."&amp;MERGEVALUE(C21)</f>
        <v>#NAME?</v>
      </c>
      <c r="M21" s="229" t="s">
        <v>1463</v>
      </c>
      <c r="N21" s="235"/>
      <c r="O21" s="2298"/>
      <c r="P21" s="2298"/>
      <c r="Q21" s="2298"/>
      <c r="R21" s="2298"/>
      <c r="S21" s="2298"/>
      <c r="T21" s="2298"/>
      <c r="U21" s="2298"/>
      <c r="V21" s="2298"/>
      <c r="W21" s="2298"/>
      <c r="X21" s="269" t="s">
        <v>1464</v>
      </c>
    </row>
    <row r="22" spans="1:29" ht="14.25" customHeight="1">
      <c r="A22" s="2157"/>
      <c r="B22" s="2157"/>
      <c r="C22" s="2157"/>
      <c r="D22" s="2157">
        <v>1</v>
      </c>
      <c r="E22" s="446"/>
      <c r="F22" s="446"/>
      <c r="G22" s="312"/>
      <c r="H22" s="1090"/>
      <c r="I22" s="288"/>
      <c r="J22" s="286"/>
      <c r="K22" s="1031"/>
      <c r="L22" s="1096" t="e">
        <f ca="1">MERGEVALUE(A22)&amp;"."&amp;MERGEVALUE(B22)&amp;"."&amp;MERGEVALUE(C22)&amp;"."&amp;MERGEVALUE(D22)</f>
        <v>#NAME?</v>
      </c>
      <c r="M22" s="230" t="s">
        <v>1465</v>
      </c>
      <c r="N22" s="235"/>
      <c r="O22" s="2298"/>
      <c r="P22" s="2298"/>
      <c r="Q22" s="2298"/>
      <c r="R22" s="2298"/>
      <c r="S22" s="2298"/>
      <c r="T22" s="2298"/>
      <c r="U22" s="2298"/>
      <c r="V22" s="2298"/>
      <c r="W22" s="2298"/>
      <c r="X22" s="262" t="s">
        <v>1576</v>
      </c>
    </row>
    <row r="23" spans="1:29" ht="22.5" customHeight="1">
      <c r="A23" s="2157"/>
      <c r="B23" s="2157"/>
      <c r="C23" s="2157"/>
      <c r="D23" s="2157"/>
      <c r="E23" s="446">
        <v>1</v>
      </c>
      <c r="F23" s="446"/>
      <c r="G23" s="312"/>
      <c r="H23" s="1090"/>
      <c r="I23" s="288"/>
      <c r="J23" s="286"/>
      <c r="K23" s="384"/>
      <c r="L23" s="1096" t="e">
        <f ca="1">MERGEVALUE(A23)&amp;"."&amp;MERGEVALUE(B23)&amp;"."&amp;MERGEVALUE(C23)&amp;"."&amp;MERGEVALUE(D23)&amp;"."&amp;MERGEVALUE(E23)</f>
        <v>#NAME?</v>
      </c>
      <c r="M23" s="306"/>
      <c r="N23" s="1093"/>
      <c r="O23" s="1647"/>
      <c r="P23" s="308"/>
      <c r="Q23" s="223"/>
      <c r="R23" s="223"/>
      <c r="S23" s="1593"/>
      <c r="T23" s="1086" t="s">
        <v>56</v>
      </c>
      <c r="U23" s="1129"/>
      <c r="V23" s="1086" t="s">
        <v>56</v>
      </c>
      <c r="W23" s="1130"/>
      <c r="X23" s="2067" t="s">
        <v>1577</v>
      </c>
      <c r="Y23" s="439" t="e">
        <f ca="1">STRCHECKDATETWO(N23:W23)</f>
        <v>#NAME?</v>
      </c>
    </row>
    <row r="24" spans="1:29" ht="14.25" hidden="1" customHeight="1">
      <c r="A24" s="2157"/>
      <c r="B24" s="2157"/>
      <c r="C24" s="2157"/>
      <c r="D24" s="2157"/>
      <c r="E24" s="446"/>
      <c r="F24" s="446"/>
      <c r="G24" s="312"/>
      <c r="H24" s="1090"/>
      <c r="I24" s="288"/>
      <c r="J24" s="286"/>
      <c r="K24" s="384"/>
      <c r="L24" s="1095"/>
      <c r="M24" s="231"/>
      <c r="N24" s="218"/>
      <c r="O24" s="218"/>
      <c r="P24" s="218"/>
      <c r="Q24" s="218"/>
      <c r="R24" s="1670" t="str">
        <f>S23&amp;"-"&amp;U23</f>
        <v>-</v>
      </c>
      <c r="S24" s="239"/>
      <c r="T24" s="236"/>
      <c r="U24" s="239"/>
      <c r="V24" s="218"/>
      <c r="W24" s="1131"/>
      <c r="X24" s="2068"/>
    </row>
    <row r="25" spans="1:29" ht="14.25" customHeight="1">
      <c r="A25" s="2157"/>
      <c r="B25" s="2157"/>
      <c r="C25" s="2157"/>
      <c r="D25" s="2157"/>
      <c r="E25" s="446"/>
      <c r="F25" s="446"/>
      <c r="G25" s="312"/>
      <c r="H25" s="1090"/>
      <c r="I25" s="288"/>
      <c r="J25" s="286"/>
      <c r="K25" s="384"/>
      <c r="L25" s="227"/>
      <c r="M25" s="291" t="s">
        <v>1541</v>
      </c>
      <c r="N25" s="290"/>
      <c r="O25" s="249"/>
      <c r="P25" s="249"/>
      <c r="Q25" s="249"/>
      <c r="R25" s="249"/>
      <c r="S25" s="252"/>
      <c r="T25" s="294"/>
      <c r="U25" s="293"/>
      <c r="V25" s="290"/>
      <c r="W25" s="290"/>
      <c r="X25" s="2069"/>
    </row>
    <row r="26" spans="1:29" s="1753" customFormat="1" ht="14.25" customHeight="1">
      <c r="A26" s="2157"/>
      <c r="B26" s="2157"/>
      <c r="C26" s="2157"/>
      <c r="D26" s="311"/>
      <c r="E26" s="311"/>
      <c r="F26" s="311"/>
      <c r="G26" s="312"/>
      <c r="H26" s="311"/>
      <c r="I26" s="288"/>
      <c r="J26" s="303"/>
      <c r="K26" s="305"/>
      <c r="L26" s="227"/>
      <c r="M26" s="299" t="s">
        <v>1556</v>
      </c>
      <c r="N26" s="290"/>
      <c r="O26" s="249"/>
      <c r="P26" s="249"/>
      <c r="Q26" s="249"/>
      <c r="R26" s="249"/>
      <c r="S26" s="252"/>
      <c r="T26" s="294"/>
      <c r="U26" s="293"/>
      <c r="V26" s="290"/>
      <c r="W26" s="294"/>
      <c r="X26" s="1132"/>
      <c r="Y26" s="309"/>
      <c r="Z26" s="309"/>
      <c r="AA26" s="309"/>
      <c r="AB26" s="309"/>
      <c r="AC26" s="309"/>
    </row>
    <row r="27" spans="1:29" s="1753" customFormat="1" ht="14.25" customHeight="1">
      <c r="A27" s="2157"/>
      <c r="B27" s="2157"/>
      <c r="C27" s="311"/>
      <c r="D27" s="311"/>
      <c r="E27" s="311"/>
      <c r="F27" s="311"/>
      <c r="G27" s="312"/>
      <c r="H27" s="311"/>
      <c r="I27" s="284"/>
      <c r="J27" s="303"/>
      <c r="K27" s="305"/>
      <c r="L27" s="227"/>
      <c r="M27" s="290" t="s">
        <v>1557</v>
      </c>
      <c r="N27" s="290"/>
      <c r="O27" s="249"/>
      <c r="P27" s="249"/>
      <c r="Q27" s="249"/>
      <c r="R27" s="249"/>
      <c r="S27" s="252"/>
      <c r="T27" s="294"/>
      <c r="U27" s="293"/>
      <c r="V27" s="290"/>
      <c r="W27" s="294"/>
      <c r="X27" s="251"/>
      <c r="Y27" s="309"/>
      <c r="Z27" s="309"/>
      <c r="AA27" s="309"/>
      <c r="AB27" s="309"/>
      <c r="AC27" s="309"/>
    </row>
    <row r="28" spans="1:29" s="1753" customFormat="1" ht="14.25" customHeight="1">
      <c r="A28" s="2157"/>
      <c r="B28" s="311"/>
      <c r="C28" s="311"/>
      <c r="D28" s="311"/>
      <c r="E28" s="311"/>
      <c r="F28" s="311"/>
      <c r="G28" s="312"/>
      <c r="H28" s="311"/>
      <c r="I28" s="284"/>
      <c r="J28" s="303"/>
      <c r="K28" s="305"/>
      <c r="L28" s="227"/>
      <c r="M28" s="350" t="s">
        <v>104</v>
      </c>
      <c r="N28" s="290"/>
      <c r="O28" s="249"/>
      <c r="P28" s="249"/>
      <c r="Q28" s="249"/>
      <c r="R28" s="249"/>
      <c r="S28" s="252"/>
      <c r="T28" s="294"/>
      <c r="U28" s="293"/>
      <c r="V28" s="290"/>
      <c r="W28" s="294"/>
      <c r="X28" s="251"/>
      <c r="Y28" s="309"/>
      <c r="Z28" s="309"/>
      <c r="AA28" s="309"/>
      <c r="AB28" s="309"/>
      <c r="AC28" s="309"/>
    </row>
    <row r="29" spans="1:29" s="1753" customFormat="1" ht="14.25" customHeight="1">
      <c r="G29" s="292"/>
      <c r="H29" s="305"/>
      <c r="I29" s="302"/>
      <c r="J29" s="303"/>
      <c r="L29" s="227"/>
      <c r="M29" s="351" t="s">
        <v>1439</v>
      </c>
      <c r="N29" s="290"/>
      <c r="O29" s="249"/>
      <c r="P29" s="249"/>
      <c r="Q29" s="249"/>
      <c r="R29" s="249"/>
      <c r="S29" s="252"/>
      <c r="T29" s="294"/>
      <c r="U29" s="293"/>
      <c r="V29" s="290"/>
      <c r="W29" s="294"/>
      <c r="X29" s="251"/>
      <c r="Y29" s="309"/>
      <c r="Z29" s="309"/>
      <c r="AA29" s="309"/>
      <c r="AB29" s="309"/>
      <c r="AC29" s="309"/>
    </row>
    <row r="31" spans="1:29" ht="14.25" customHeight="1">
      <c r="L31" s="6">
        <v>1</v>
      </c>
      <c r="M31" s="2234" t="s">
        <v>1578</v>
      </c>
      <c r="N31" s="2234"/>
      <c r="O31" s="2234"/>
      <c r="P31" s="2234"/>
      <c r="Q31" s="2234"/>
      <c r="R31" s="2234"/>
      <c r="S31" s="2234"/>
      <c r="T31" s="2234"/>
      <c r="U31" s="2234"/>
      <c r="V31" s="2234"/>
      <c r="W31" s="2234"/>
      <c r="X31" s="2234"/>
      <c r="Y31" s="1133"/>
      <c r="Z31" s="296"/>
      <c r="AA31" s="296"/>
      <c r="AB31" s="296"/>
      <c r="AC31" s="296"/>
    </row>
    <row r="32" spans="1:29" ht="14.25" customHeight="1">
      <c r="M32" s="1134"/>
      <c r="N32" s="1134"/>
      <c r="O32" s="1134"/>
      <c r="P32" s="1134"/>
      <c r="Q32" s="1134"/>
      <c r="R32" s="1134"/>
      <c r="S32" s="1134"/>
      <c r="T32" s="1134"/>
      <c r="U32" s="1134"/>
      <c r="V32" s="1134"/>
      <c r="W32" s="1134"/>
      <c r="X32" s="1134"/>
      <c r="Y32" s="438"/>
      <c r="Z32" s="438"/>
      <c r="AA32" s="438"/>
      <c r="AB32" s="438"/>
      <c r="AC32" s="438"/>
    </row>
  </sheetData>
  <sheetProtection formatColumns="0" formatRows="0" insertRows="0" deleteColumns="0" deleteRows="0" sort="0" autoFilter="0"/>
  <mergeCells count="30">
    <mergeCell ref="L12:M12"/>
    <mergeCell ref="L5:T5"/>
    <mergeCell ref="O7:T7"/>
    <mergeCell ref="O8:T8"/>
    <mergeCell ref="O9:T9"/>
    <mergeCell ref="O10:T10"/>
    <mergeCell ref="Q13:V13"/>
    <mergeCell ref="L14:W14"/>
    <mergeCell ref="X14:X17"/>
    <mergeCell ref="L15:L17"/>
    <mergeCell ref="M15:M17"/>
    <mergeCell ref="O15:O17"/>
    <mergeCell ref="P15:P17"/>
    <mergeCell ref="Q15:U15"/>
    <mergeCell ref="V15:V17"/>
    <mergeCell ref="W15:W17"/>
    <mergeCell ref="A19:A28"/>
    <mergeCell ref="O19:W19"/>
    <mergeCell ref="B20:B27"/>
    <mergeCell ref="O20:W20"/>
    <mergeCell ref="C21:C26"/>
    <mergeCell ref="O21:W21"/>
    <mergeCell ref="D22:D25"/>
    <mergeCell ref="O22:W22"/>
    <mergeCell ref="X23:X25"/>
    <mergeCell ref="M31:X31"/>
    <mergeCell ref="Q16:R16"/>
    <mergeCell ref="S16:U16"/>
    <mergeCell ref="T17:U17"/>
    <mergeCell ref="T18:U18"/>
  </mergeCells>
  <dataValidations count="8">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formula1>900</formula1>
    </dataValidation>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L42"/>
  <sheetViews>
    <sheetView showGridLines="0" topLeftCell="C13" zoomScale="90" workbookViewId="0"/>
  </sheetViews>
  <sheetFormatPr defaultColWidth="10.5703125" defaultRowHeight="14.25" customHeight="1"/>
  <cols>
    <col min="1" max="1" width="9.140625" style="1686" hidden="1" customWidth="1"/>
    <col min="2" max="2" width="9.140625" style="1759" hidden="1" customWidth="1"/>
    <col min="3" max="3" width="3.7109375" style="1677" customWidth="1"/>
    <col min="4" max="4" width="6.28515625" style="1846" customWidth="1"/>
    <col min="5" max="5" width="63.42578125" style="1846" customWidth="1"/>
    <col min="6" max="6" width="1.7109375" style="1846" hidden="1" customWidth="1"/>
    <col min="7" max="8" width="35.7109375" style="1846" customWidth="1"/>
    <col min="9" max="9" width="91.5703125" style="1846" customWidth="1"/>
    <col min="10" max="10" width="68.85546875" style="1846" customWidth="1"/>
    <col min="11" max="12" width="10.5703125" style="1765"/>
  </cols>
  <sheetData>
    <row r="1" spans="1:12" ht="14.25" hidden="1" customHeight="1"/>
    <row r="2" spans="1:12" s="1846" customFormat="1" ht="18.75" hidden="1" customHeight="1">
      <c r="A2" s="1542"/>
      <c r="B2" s="1036"/>
      <c r="C2" s="1589" t="s">
        <v>1109</v>
      </c>
      <c r="D2" s="1533"/>
      <c r="E2" s="1698"/>
      <c r="F2" s="1530"/>
      <c r="G2" s="1530" t="s">
        <v>298</v>
      </c>
      <c r="H2" s="1037"/>
      <c r="K2" s="1485"/>
      <c r="L2" s="1485"/>
    </row>
    <row r="3" spans="1:12" s="1846" customFormat="1" ht="14.25" hidden="1" customHeight="1">
      <c r="A3" s="1243"/>
      <c r="B3" s="1036"/>
      <c r="C3" s="268"/>
      <c r="K3" s="1485"/>
      <c r="L3" s="1485"/>
    </row>
    <row r="4" spans="1:12" s="1846" customFormat="1" ht="18.75" hidden="1" customHeight="1">
      <c r="A4" s="1542"/>
      <c r="B4" s="1036"/>
      <c r="C4" s="1589" t="s">
        <v>1109</v>
      </c>
      <c r="D4" s="1533"/>
      <c r="E4" s="1699" t="s">
        <v>1579</v>
      </c>
      <c r="F4" s="1530"/>
      <c r="G4" s="1700"/>
      <c r="H4" s="1530" t="s">
        <v>298</v>
      </c>
      <c r="K4" s="1485"/>
      <c r="L4" s="1485"/>
    </row>
    <row r="5" spans="1:12" s="1846" customFormat="1" ht="14.25" hidden="1" customHeight="1">
      <c r="A5" s="1243"/>
      <c r="B5" s="1036"/>
      <c r="C5" s="268"/>
      <c r="K5" s="1485"/>
      <c r="L5" s="1485"/>
    </row>
    <row r="6" spans="1:12" s="1846" customFormat="1" ht="18.75" hidden="1" customHeight="1">
      <c r="A6" s="1542"/>
      <c r="B6" s="1036"/>
      <c r="C6" s="1589" t="s">
        <v>1109</v>
      </c>
      <c r="D6" s="1533"/>
      <c r="E6" s="1701" t="s">
        <v>1580</v>
      </c>
      <c r="F6" s="1530"/>
      <c r="G6" s="1700"/>
      <c r="H6" s="1530" t="s">
        <v>298</v>
      </c>
      <c r="K6" s="1485"/>
      <c r="L6" s="1485"/>
    </row>
    <row r="7" spans="1:12" s="1846" customFormat="1" ht="14.25" hidden="1" customHeight="1">
      <c r="A7" s="1243"/>
      <c r="B7" s="1036"/>
      <c r="C7" s="268"/>
      <c r="K7" s="1485"/>
      <c r="L7" s="1485"/>
    </row>
    <row r="8" spans="1:12" s="1846" customFormat="1" ht="18.75" hidden="1" customHeight="1">
      <c r="A8" s="1542"/>
      <c r="B8" s="1036"/>
      <c r="C8" s="1589" t="s">
        <v>1109</v>
      </c>
      <c r="D8" s="1533"/>
      <c r="E8" s="1701" t="s">
        <v>1581</v>
      </c>
      <c r="F8" s="1530"/>
      <c r="G8" s="1700"/>
      <c r="H8" s="1530" t="s">
        <v>298</v>
      </c>
      <c r="K8" s="1485"/>
      <c r="L8" s="1485"/>
    </row>
    <row r="9" spans="1:12" s="1846" customFormat="1" ht="14.25" hidden="1" customHeight="1">
      <c r="A9" s="1243"/>
      <c r="B9" s="1036"/>
      <c r="C9" s="268"/>
      <c r="K9" s="1485"/>
      <c r="L9" s="1485"/>
    </row>
    <row r="10" spans="1:12" s="1846" customFormat="1" ht="18.75" hidden="1" customHeight="1">
      <c r="A10" s="1542"/>
      <c r="B10" s="1036"/>
      <c r="C10" s="1589" t="s">
        <v>1109</v>
      </c>
      <c r="D10" s="1533"/>
      <c r="E10" s="1701" t="s">
        <v>1582</v>
      </c>
      <c r="F10" s="1530"/>
      <c r="G10" s="1534"/>
      <c r="H10" s="1530" t="s">
        <v>298</v>
      </c>
      <c r="K10" s="1485"/>
      <c r="L10" s="1485" t="s">
        <v>1583</v>
      </c>
    </row>
    <row r="11" spans="1:12" ht="14.25" hidden="1" customHeight="1"/>
    <row r="12" spans="1:12" ht="14.25" hidden="1" customHeight="1"/>
    <row r="13" spans="1:12" ht="14.25" customHeight="1">
      <c r="C13" s="35"/>
      <c r="D13" s="23"/>
      <c r="E13" s="23"/>
      <c r="F13" s="23"/>
      <c r="G13" s="23"/>
      <c r="H13" s="24"/>
      <c r="I13" s="24"/>
    </row>
    <row r="14" spans="1:12" ht="30" customHeight="1">
      <c r="C14" s="35"/>
      <c r="D14" s="2014" t="str">
        <f>PROCEDURE_TC_NAME_FORM</f>
        <v>Форма 18.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 &lt;1&gt;</v>
      </c>
      <c r="E14" s="2015"/>
      <c r="F14" s="2015"/>
      <c r="G14" s="2015"/>
      <c r="H14" s="2016"/>
      <c r="J14" s="1492"/>
    </row>
    <row r="15" spans="1:12" s="1846" customFormat="1" ht="14.25" customHeight="1">
      <c r="A15" s="1243"/>
      <c r="B15" s="1036"/>
      <c r="C15" s="304"/>
      <c r="D15" s="2126" t="str">
        <f>IF(org=0,"Не определено",org)</f>
        <v>ООО "Автозаводская ТЭЦ"</v>
      </c>
      <c r="E15" s="2127"/>
      <c r="F15" s="2127"/>
      <c r="G15" s="2127"/>
      <c r="H15" s="2128"/>
      <c r="J15" s="754"/>
      <c r="K15" s="1485"/>
      <c r="L15" s="1485"/>
    </row>
    <row r="16" spans="1:12" ht="14.25" customHeight="1">
      <c r="C16" s="35"/>
      <c r="D16" s="23"/>
      <c r="E16" s="34"/>
      <c r="F16" s="34"/>
      <c r="G16" s="34"/>
      <c r="H16" s="665"/>
      <c r="I16" s="118"/>
    </row>
    <row r="17" spans="1:12" s="1846" customFormat="1" ht="14.25" hidden="1" customHeight="1">
      <c r="A17" s="1243"/>
      <c r="B17" s="1036"/>
      <c r="C17" s="304"/>
      <c r="D17" s="289"/>
      <c r="E17" s="321"/>
      <c r="F17" s="321"/>
      <c r="G17" s="321"/>
      <c r="H17" s="665"/>
      <c r="I17" s="118"/>
      <c r="K17" s="1485"/>
      <c r="L17" s="1485"/>
    </row>
    <row r="18" spans="1:12" ht="21" customHeight="1">
      <c r="C18" s="35"/>
      <c r="D18" s="2111" t="s">
        <v>292</v>
      </c>
      <c r="E18" s="2111"/>
      <c r="F18" s="2111"/>
      <c r="G18" s="2111"/>
      <c r="H18" s="2111"/>
      <c r="I18" s="2223" t="s">
        <v>293</v>
      </c>
    </row>
    <row r="19" spans="1:12" ht="21" customHeight="1">
      <c r="C19" s="35"/>
      <c r="D19" s="41" t="s">
        <v>88</v>
      </c>
      <c r="E19" s="44" t="s">
        <v>294</v>
      </c>
      <c r="F19" s="44"/>
      <c r="G19" s="44" t="s">
        <v>295</v>
      </c>
      <c r="H19" s="44" t="s">
        <v>384</v>
      </c>
      <c r="I19" s="2223"/>
    </row>
    <row r="20" spans="1:12" ht="12" customHeight="1">
      <c r="C20" s="35"/>
      <c r="D20" s="26" t="s">
        <v>109</v>
      </c>
      <c r="E20" s="26" t="s">
        <v>110</v>
      </c>
      <c r="F20" s="26"/>
      <c r="G20" s="26" t="s">
        <v>90</v>
      </c>
      <c r="H20" s="26" t="s">
        <v>91</v>
      </c>
      <c r="I20" s="26" t="s">
        <v>111</v>
      </c>
    </row>
    <row r="21" spans="1:12" ht="14.25" customHeight="1">
      <c r="A21" s="1542"/>
      <c r="C21" s="35"/>
      <c r="D21" s="76">
        <v>1</v>
      </c>
      <c r="E21" s="2305" t="s">
        <v>1584</v>
      </c>
      <c r="F21" s="2305"/>
      <c r="G21" s="2305"/>
      <c r="H21" s="2305"/>
      <c r="I21" s="129"/>
    </row>
    <row r="22" spans="1:12" ht="20.25" customHeight="1">
      <c r="A22" s="1542"/>
      <c r="C22" s="35"/>
      <c r="D22" s="76" t="s">
        <v>620</v>
      </c>
      <c r="E22" s="119" t="s">
        <v>1585</v>
      </c>
      <c r="F22" s="122"/>
      <c r="G22" s="1596"/>
      <c r="H22" s="122" t="s">
        <v>298</v>
      </c>
      <c r="I22" s="80" t="s">
        <v>1586</v>
      </c>
    </row>
    <row r="23" spans="1:12" ht="45" customHeight="1">
      <c r="A23" s="1542"/>
      <c r="C23" s="35"/>
      <c r="D23" s="76" t="s">
        <v>626</v>
      </c>
      <c r="E23" s="119" t="s">
        <v>1587</v>
      </c>
      <c r="F23" s="122"/>
      <c r="G23" s="1700"/>
      <c r="H23" s="135"/>
      <c r="I23" s="176" t="s">
        <v>1588</v>
      </c>
    </row>
    <row r="24" spans="1:12" ht="14.25" customHeight="1">
      <c r="A24" s="1542"/>
      <c r="B24" s="75">
        <v>3</v>
      </c>
      <c r="C24" s="35"/>
      <c r="D24" s="76">
        <v>2</v>
      </c>
      <c r="E24" s="14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22"/>
      <c r="G24" s="122" t="s">
        <v>298</v>
      </c>
      <c r="H24" s="135"/>
      <c r="I24" s="177" t="s">
        <v>713</v>
      </c>
    </row>
    <row r="25" spans="1:12" ht="46.5" customHeight="1">
      <c r="A25" s="1542"/>
      <c r="C25" s="35"/>
      <c r="D25" s="76">
        <v>3</v>
      </c>
      <c r="E25" s="230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305"/>
      <c r="G25" s="2305"/>
      <c r="H25" s="2305"/>
      <c r="I25" s="175"/>
    </row>
    <row r="26" spans="1:12" ht="14.25" customHeight="1">
      <c r="A26" s="1542"/>
      <c r="C26" s="35"/>
      <c r="D26" s="76" t="s">
        <v>318</v>
      </c>
      <c r="E26" s="1698"/>
      <c r="F26" s="122"/>
      <c r="G26" s="122" t="s">
        <v>298</v>
      </c>
      <c r="H26" s="135"/>
      <c r="I26" s="2067" t="s">
        <v>1589</v>
      </c>
    </row>
    <row r="27" spans="1:12" ht="15" customHeight="1">
      <c r="A27" s="1542" t="s">
        <v>109</v>
      </c>
      <c r="C27" s="35"/>
      <c r="D27" s="45"/>
      <c r="E27" s="126" t="s">
        <v>1454</v>
      </c>
      <c r="F27" s="127"/>
      <c r="G27" s="127"/>
      <c r="H27" s="124"/>
      <c r="I27" s="2069"/>
    </row>
    <row r="28" spans="1:12" ht="38.25" customHeight="1">
      <c r="A28" s="1542"/>
      <c r="B28" s="75">
        <v>3</v>
      </c>
      <c r="C28" s="35"/>
      <c r="D28" s="76">
        <v>4</v>
      </c>
      <c r="E28" s="230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305"/>
      <c r="G28" s="2305"/>
      <c r="H28" s="2305"/>
      <c r="I28" s="175"/>
    </row>
    <row r="29" spans="1:12" ht="20.25" customHeight="1">
      <c r="A29" s="1542"/>
      <c r="C29" s="35"/>
      <c r="D29" s="76" t="s">
        <v>613</v>
      </c>
      <c r="E29" s="1699" t="s">
        <v>1579</v>
      </c>
      <c r="F29" s="122"/>
      <c r="G29" s="1700"/>
      <c r="H29" s="122" t="s">
        <v>298</v>
      </c>
      <c r="I29" s="2067" t="s">
        <v>1590</v>
      </c>
    </row>
    <row r="30" spans="1:12" ht="15" customHeight="1">
      <c r="A30" s="1542" t="s">
        <v>110</v>
      </c>
      <c r="C30" s="35"/>
      <c r="D30" s="45"/>
      <c r="E30" s="126" t="s">
        <v>1454</v>
      </c>
      <c r="F30" s="127"/>
      <c r="G30" s="127"/>
      <c r="H30" s="124"/>
      <c r="I30" s="2069"/>
    </row>
    <row r="31" spans="1:12" ht="30" customHeight="1">
      <c r="A31" s="1542"/>
      <c r="B31" s="75">
        <v>3</v>
      </c>
      <c r="C31" s="35"/>
      <c r="D31" s="76">
        <v>5</v>
      </c>
      <c r="E31" s="230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305"/>
      <c r="G31" s="2305"/>
      <c r="H31" s="2305"/>
      <c r="I31" s="175"/>
    </row>
    <row r="32" spans="1:12" ht="26.25" customHeight="1">
      <c r="A32" s="1542"/>
      <c r="C32" s="35"/>
      <c r="D32" s="76" t="s">
        <v>307</v>
      </c>
      <c r="E32" s="230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306"/>
      <c r="G32" s="2306"/>
      <c r="H32" s="2306"/>
      <c r="I32" s="175"/>
    </row>
    <row r="33" spans="1:12" ht="14.25" customHeight="1">
      <c r="A33" s="1542"/>
      <c r="C33" s="35"/>
      <c r="D33" s="76" t="s">
        <v>621</v>
      </c>
      <c r="E33" s="1701" t="s">
        <v>1580</v>
      </c>
      <c r="F33" s="122"/>
      <c r="G33" s="1700"/>
      <c r="H33" s="122" t="s">
        <v>298</v>
      </c>
      <c r="I33" s="2067" t="s">
        <v>1591</v>
      </c>
    </row>
    <row r="34" spans="1:12" ht="15" customHeight="1">
      <c r="A34" s="1542" t="s">
        <v>90</v>
      </c>
      <c r="C34" s="35"/>
      <c r="D34" s="45"/>
      <c r="E34" s="127" t="s">
        <v>1454</v>
      </c>
      <c r="F34" s="123"/>
      <c r="G34" s="123"/>
      <c r="H34" s="124"/>
      <c r="I34" s="2069"/>
    </row>
    <row r="35" spans="1:12" ht="24" customHeight="1">
      <c r="A35" s="1542"/>
      <c r="C35" s="35"/>
      <c r="D35" s="76" t="s">
        <v>309</v>
      </c>
      <c r="E35" s="230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306"/>
      <c r="G35" s="2306"/>
      <c r="H35" s="2306"/>
      <c r="I35" s="175"/>
    </row>
    <row r="36" spans="1:12" ht="14.25" customHeight="1">
      <c r="A36" s="1542"/>
      <c r="C36" s="35"/>
      <c r="D36" s="76" t="s">
        <v>1592</v>
      </c>
      <c r="E36" s="1701" t="s">
        <v>1581</v>
      </c>
      <c r="F36" s="122"/>
      <c r="G36" s="1700"/>
      <c r="H36" s="122" t="s">
        <v>298</v>
      </c>
      <c r="I36" s="2043" t="s">
        <v>1593</v>
      </c>
    </row>
    <row r="37" spans="1:12" ht="15" customHeight="1">
      <c r="A37" s="1542" t="s">
        <v>91</v>
      </c>
      <c r="C37" s="35"/>
      <c r="D37" s="45"/>
      <c r="E37" s="127" t="s">
        <v>1454</v>
      </c>
      <c r="F37" s="123"/>
      <c r="G37" s="123"/>
      <c r="H37" s="124"/>
      <c r="I37" s="2043"/>
    </row>
    <row r="38" spans="1:12" ht="26.25" customHeight="1">
      <c r="A38" s="1542"/>
      <c r="C38" s="35"/>
      <c r="D38" s="76" t="s">
        <v>312</v>
      </c>
      <c r="E38" s="230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306"/>
      <c r="G38" s="2306"/>
      <c r="H38" s="2306"/>
      <c r="I38" s="175"/>
    </row>
    <row r="39" spans="1:12" ht="14.25" customHeight="1">
      <c r="A39" s="1542"/>
      <c r="C39" s="35"/>
      <c r="D39" s="76" t="s">
        <v>1594</v>
      </c>
      <c r="E39" s="1701" t="s">
        <v>1582</v>
      </c>
      <c r="F39" s="122"/>
      <c r="G39" s="128"/>
      <c r="H39" s="122" t="s">
        <v>298</v>
      </c>
      <c r="I39" s="2067" t="s">
        <v>1595</v>
      </c>
      <c r="L39" s="84" t="s">
        <v>1583</v>
      </c>
    </row>
    <row r="40" spans="1:12" ht="15" customHeight="1">
      <c r="A40" s="1542" t="s">
        <v>111</v>
      </c>
      <c r="C40" s="35"/>
      <c r="D40" s="45"/>
      <c r="E40" s="127" t="s">
        <v>1454</v>
      </c>
      <c r="F40" s="123"/>
      <c r="G40" s="123"/>
      <c r="H40" s="124"/>
      <c r="I40" s="2069"/>
    </row>
    <row r="41" spans="1:12" s="1814" customFormat="1" ht="3" customHeight="1">
      <c r="A41" s="1542"/>
      <c r="K41" s="120"/>
      <c r="L41" s="120"/>
    </row>
    <row r="42" spans="1:12" ht="24.75" customHeight="1">
      <c r="D42" s="1541" t="s">
        <v>1509</v>
      </c>
      <c r="E42" s="2234"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34"/>
      <c r="G42" s="2234"/>
      <c r="H42" s="2234"/>
      <c r="I42" s="2234"/>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Q16"/>
  <sheetViews>
    <sheetView showGridLines="0" topLeftCell="C4" zoomScale="90" workbookViewId="0"/>
  </sheetViews>
  <sheetFormatPr defaultColWidth="10.5703125" defaultRowHeight="14.25" customHeight="1"/>
  <cols>
    <col min="1" max="1" width="9.140625" style="1740" hidden="1" customWidth="1"/>
    <col min="2" max="2" width="9.140625" style="1759" hidden="1" customWidth="1"/>
    <col min="3" max="3" width="3.7109375" style="1677" customWidth="1"/>
    <col min="4" max="4" width="6.28515625" style="1846" customWidth="1"/>
    <col min="5" max="5" width="38.140625" style="1846" customWidth="1"/>
    <col min="6" max="7" width="35.7109375" style="1846" customWidth="1"/>
    <col min="8" max="8" width="89.5703125" style="1846" customWidth="1"/>
    <col min="9" max="9" width="10.5703125" style="1846"/>
    <col min="10" max="11" width="10.5703125" style="1765"/>
    <col min="12" max="17" width="10.5703125" style="1846"/>
  </cols>
  <sheetData>
    <row r="1" spans="1:17" ht="14.25" hidden="1" customHeight="1">
      <c r="N1" s="174"/>
      <c r="O1" s="174"/>
      <c r="Q1" s="174"/>
    </row>
    <row r="2" spans="1:17" s="1846" customFormat="1" ht="18.75" hidden="1" customHeight="1">
      <c r="A2" s="39"/>
      <c r="B2" s="1036"/>
      <c r="C2" s="1589" t="s">
        <v>1109</v>
      </c>
      <c r="D2" s="1533"/>
      <c r="E2" s="1702"/>
      <c r="F2" s="1700"/>
      <c r="G2" s="1037"/>
      <c r="H2" s="301"/>
      <c r="I2" s="1485"/>
      <c r="J2" s="1485"/>
    </row>
    <row r="3" spans="1:17" ht="14.25" hidden="1" customHeight="1"/>
    <row r="4" spans="1:17" ht="6" customHeight="1">
      <c r="C4" s="304"/>
      <c r="D4" s="289"/>
      <c r="E4" s="289"/>
      <c r="F4" s="289"/>
      <c r="G4" s="24"/>
      <c r="H4" s="24"/>
    </row>
    <row r="5" spans="1:17" ht="54.75" customHeight="1">
      <c r="C5" s="304"/>
      <c r="D5" s="2014" t="str">
        <f>PURCH_NAME_FORM</f>
        <v>Форма 19.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015"/>
      <c r="F5" s="2015"/>
      <c r="G5" s="2016"/>
      <c r="H5" s="184"/>
    </row>
    <row r="6" spans="1:17" s="1846" customFormat="1" ht="17.25" customHeight="1">
      <c r="A6" s="1529"/>
      <c r="B6" s="1036"/>
      <c r="C6" s="304"/>
      <c r="D6" s="2126" t="str">
        <f>IF(org=0,"Не определено",org)</f>
        <v>ООО "Автозаводская ТЭЦ"</v>
      </c>
      <c r="E6" s="2127"/>
      <c r="F6" s="2127"/>
      <c r="G6" s="2128"/>
      <c r="H6" s="184"/>
      <c r="J6" s="1485"/>
      <c r="K6" s="1485"/>
    </row>
    <row r="7" spans="1:17" ht="14.25" customHeight="1">
      <c r="C7" s="304"/>
      <c r="D7" s="289"/>
      <c r="E7" s="321"/>
      <c r="F7" s="321"/>
      <c r="G7" s="665"/>
      <c r="H7" s="118"/>
    </row>
    <row r="8" spans="1:17" ht="14.25" customHeight="1">
      <c r="C8" s="304"/>
      <c r="D8" s="2111" t="s">
        <v>292</v>
      </c>
      <c r="E8" s="2111"/>
      <c r="F8" s="2111"/>
      <c r="G8" s="2111"/>
      <c r="H8" s="2223" t="s">
        <v>293</v>
      </c>
    </row>
    <row r="9" spans="1:17" ht="14.25" customHeight="1">
      <c r="C9" s="304"/>
      <c r="D9" s="317" t="s">
        <v>88</v>
      </c>
      <c r="E9" s="44" t="s">
        <v>294</v>
      </c>
      <c r="F9" s="44" t="s">
        <v>295</v>
      </c>
      <c r="G9" s="44" t="s">
        <v>384</v>
      </c>
      <c r="H9" s="2223"/>
    </row>
    <row r="10" spans="1:17" ht="14.25" customHeight="1">
      <c r="A10" s="267"/>
      <c r="C10" s="304"/>
      <c r="D10" s="76" t="s">
        <v>109</v>
      </c>
      <c r="E10" s="32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700"/>
      <c r="G10" s="135"/>
      <c r="H10" s="2067" t="s">
        <v>1596</v>
      </c>
    </row>
    <row r="11" spans="1:17" ht="14.25" customHeight="1">
      <c r="A11" s="267"/>
      <c r="C11" s="304"/>
      <c r="D11" s="76" t="s">
        <v>110</v>
      </c>
      <c r="E11" s="32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700"/>
      <c r="G11" s="135"/>
      <c r="H11" s="2068"/>
    </row>
    <row r="12" spans="1:17" ht="22.5" customHeight="1">
      <c r="A12" s="39"/>
      <c r="C12" s="318"/>
      <c r="D12" s="76" t="s">
        <v>90</v>
      </c>
      <c r="E12" s="320" t="str">
        <f>"Сведения о планировании закупочных процедур"&amp;IF(TEMPLATE_SPHERE="TKO"," &lt;1&gt;","")</f>
        <v>Сведения о планировании закупочных процедур</v>
      </c>
      <c r="F12" s="1700"/>
      <c r="G12" s="135"/>
      <c r="H12" s="2068"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74"/>
      <c r="K12" s="301"/>
    </row>
    <row r="13" spans="1:17" ht="22.5" customHeight="1">
      <c r="A13" s="39"/>
      <c r="C13" s="318"/>
      <c r="D13" s="76" t="s">
        <v>91</v>
      </c>
      <c r="E13" s="320" t="str">
        <f>"Сведения о результатах проведения закупочных процедур"&amp;IF(TEMPLATE_SPHERE="TKO"," &lt;1&gt;","")</f>
        <v>Сведения о результатах проведения закупочных процедур</v>
      </c>
      <c r="F13" s="1700"/>
      <c r="G13" s="135"/>
      <c r="H13" s="2068"/>
      <c r="I13" s="274"/>
      <c r="K13" s="301"/>
    </row>
    <row r="14" spans="1:17" ht="14.25" customHeight="1">
      <c r="A14" s="267"/>
      <c r="C14" s="304"/>
      <c r="D14" s="271"/>
      <c r="E14" s="327" t="s">
        <v>1454</v>
      </c>
      <c r="F14" s="273"/>
      <c r="G14" s="124"/>
      <c r="H14" s="2069"/>
    </row>
    <row r="15" spans="1:17" s="1846" customFormat="1" ht="14.25" customHeight="1">
      <c r="A15" s="267"/>
      <c r="B15" s="1036"/>
      <c r="C15" s="304"/>
      <c r="D15" s="328"/>
      <c r="E15" s="1537"/>
      <c r="F15" s="1538"/>
      <c r="G15" s="1539"/>
      <c r="H15" s="1540"/>
      <c r="J15" s="1485"/>
      <c r="K15" s="1485"/>
    </row>
    <row r="16" spans="1:17" ht="21.75" customHeight="1">
      <c r="D16" s="1541" t="s">
        <v>1509</v>
      </c>
      <c r="E16" s="2234" t="s">
        <v>1597</v>
      </c>
      <c r="F16" s="2234"/>
      <c r="G16" s="2234"/>
      <c r="H16" s="2234"/>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B28"/>
  <sheetViews>
    <sheetView showGridLines="0" topLeftCell="C2" zoomScale="90" workbookViewId="0">
      <selection activeCell="G13" sqref="G13"/>
    </sheetView>
  </sheetViews>
  <sheetFormatPr defaultColWidth="9.140625" defaultRowHeight="14.25" customHeight="1"/>
  <cols>
    <col min="1" max="1" width="8" style="1846" hidden="1" customWidth="1"/>
    <col min="2" max="2" width="6" style="1759" hidden="1" customWidth="1"/>
    <col min="3" max="3" width="3.7109375" style="1846" customWidth="1"/>
    <col min="4" max="4" width="3.7109375" style="1760" customWidth="1"/>
    <col min="5" max="5" width="6.28515625" style="1846" customWidth="1"/>
    <col min="6" max="6" width="2.7109375" style="1846" hidden="1" customWidth="1"/>
    <col min="7" max="7" width="46.7109375" style="1846" customWidth="1"/>
    <col min="8" max="8" width="43.140625" style="1846" customWidth="1"/>
    <col min="9" max="9" width="14.85546875" style="1846" customWidth="1"/>
    <col min="10" max="10" width="3.7109375" style="1765" customWidth="1"/>
    <col min="11" max="13" width="9.140625" style="1765" hidden="1"/>
    <col min="14" max="14" width="25.7109375" style="1765" hidden="1" customWidth="1"/>
    <col min="15" max="15" width="14.42578125" style="1765" hidden="1" customWidth="1"/>
    <col min="16" max="19" width="9.140625" style="1766" hidden="1"/>
    <col min="20" max="27" width="9.140625" style="1846" hidden="1"/>
    <col min="28" max="28" width="9.140625" style="1846"/>
  </cols>
  <sheetData>
    <row r="1" spans="1:28" s="1772" customFormat="1" ht="5.25" hidden="1" customHeight="1">
      <c r="A1" s="424"/>
      <c r="B1" s="439"/>
      <c r="C1" s="439"/>
      <c r="D1" s="143"/>
      <c r="F1" s="439"/>
      <c r="G1" s="166" t="s">
        <v>83</v>
      </c>
      <c r="H1" s="422" t="s">
        <v>84</v>
      </c>
      <c r="I1" s="149" t="s">
        <v>85</v>
      </c>
      <c r="J1" s="166" t="s">
        <v>83</v>
      </c>
      <c r="K1" s="166"/>
      <c r="L1" s="166"/>
      <c r="M1" s="166"/>
      <c r="N1" s="167"/>
      <c r="O1" s="166"/>
      <c r="P1" s="166"/>
      <c r="Q1" s="166"/>
      <c r="R1" s="166"/>
      <c r="S1" s="166"/>
      <c r="T1" s="149"/>
      <c r="U1" s="149"/>
      <c r="V1" s="149"/>
      <c r="W1" s="149"/>
      <c r="X1" s="149"/>
      <c r="Y1" s="149"/>
      <c r="Z1" s="149"/>
      <c r="AA1" s="149"/>
      <c r="AB1" s="149"/>
    </row>
    <row r="2" spans="1:28" s="1687" customFormat="1" ht="11.25" customHeight="1">
      <c r="A2" s="737"/>
      <c r="B2" s="150"/>
      <c r="C2" s="150"/>
      <c r="D2" s="151"/>
      <c r="E2" s="150"/>
      <c r="F2" s="150"/>
      <c r="G2" s="150"/>
      <c r="H2" s="150"/>
      <c r="I2" s="150"/>
      <c r="J2" s="166"/>
      <c r="K2" s="166"/>
      <c r="L2" s="166"/>
      <c r="M2" s="166"/>
      <c r="N2" s="167"/>
      <c r="O2" s="166"/>
      <c r="P2" s="152"/>
      <c r="Q2" s="152"/>
      <c r="R2" s="152"/>
      <c r="S2" s="152"/>
      <c r="T2" s="151"/>
      <c r="U2" s="151"/>
      <c r="V2" s="151"/>
      <c r="W2" s="151"/>
      <c r="X2" s="151"/>
      <c r="Y2" s="151"/>
      <c r="Z2" s="151"/>
      <c r="AA2" s="151"/>
      <c r="AB2" s="151"/>
    </row>
    <row r="3" spans="1:28" s="1651" customFormat="1" ht="3" customHeight="1">
      <c r="A3" s="669"/>
      <c r="B3" s="352"/>
      <c r="C3" s="669"/>
      <c r="D3" s="92"/>
      <c r="E3" s="40"/>
      <c r="F3" s="437"/>
      <c r="G3" s="40"/>
      <c r="H3" s="40"/>
      <c r="I3" s="94"/>
      <c r="J3" s="166"/>
      <c r="K3" s="84"/>
      <c r="L3" s="84"/>
      <c r="M3" s="84"/>
      <c r="N3" s="148"/>
      <c r="O3" s="84"/>
      <c r="P3" s="147"/>
      <c r="Q3" s="147"/>
      <c r="R3" s="147"/>
      <c r="S3" s="147"/>
    </row>
    <row r="4" spans="1:28" s="1651" customFormat="1" ht="25.5" customHeight="1">
      <c r="A4" s="669"/>
      <c r="B4" s="352"/>
      <c r="C4" s="669"/>
      <c r="D4" s="92"/>
      <c r="E4" s="2007" t="str">
        <f>NameTemplatesInListMO</f>
        <v>Перечень муниципальных районов и муниципальных образований (территорий оказания услуг)</v>
      </c>
      <c r="F4" s="2007"/>
      <c r="G4" s="2007"/>
      <c r="H4" s="2007"/>
      <c r="I4" s="2007"/>
      <c r="J4" s="166"/>
      <c r="K4" s="84"/>
      <c r="L4" s="84"/>
      <c r="M4" s="84"/>
      <c r="N4" s="148"/>
      <c r="O4" s="84"/>
      <c r="P4" s="147"/>
      <c r="Q4" s="147"/>
      <c r="R4" s="147"/>
      <c r="S4" s="147"/>
    </row>
    <row r="5" spans="1:28" s="1651" customFormat="1" ht="3" customHeight="1">
      <c r="A5" s="669"/>
      <c r="B5" s="352"/>
      <c r="C5" s="669"/>
      <c r="D5" s="92"/>
      <c r="E5" s="40"/>
      <c r="F5" s="437"/>
      <c r="G5" s="95"/>
      <c r="H5" s="95"/>
      <c r="I5" s="96"/>
      <c r="J5" s="84"/>
      <c r="K5" s="84"/>
      <c r="L5" s="84"/>
      <c r="M5" s="84"/>
      <c r="N5" s="148"/>
      <c r="O5" s="84"/>
      <c r="P5" s="147"/>
      <c r="Q5" s="147"/>
      <c r="R5" s="147"/>
      <c r="S5" s="147"/>
    </row>
    <row r="6" spans="1:28" s="1651" customFormat="1" ht="20.25" hidden="1" customHeight="1">
      <c r="A6" s="743"/>
      <c r="B6" s="739"/>
      <c r="C6" s="97"/>
      <c r="D6" s="92"/>
      <c r="E6" s="687"/>
      <c r="F6" s="687"/>
      <c r="G6" s="95"/>
      <c r="H6" s="98"/>
      <c r="I6" s="98"/>
      <c r="J6" s="84"/>
      <c r="K6" s="84"/>
      <c r="L6" s="84"/>
      <c r="M6" s="84"/>
      <c r="N6" s="148"/>
      <c r="O6" s="84"/>
      <c r="P6" s="147"/>
      <c r="Q6" s="147"/>
      <c r="R6" s="147"/>
      <c r="S6" s="147"/>
    </row>
    <row r="7" spans="1:28" ht="25.5" hidden="1" customHeight="1"/>
    <row r="8" spans="1:28" s="1651" customFormat="1" ht="14.25" customHeight="1">
      <c r="A8" s="669"/>
      <c r="B8" s="352"/>
      <c r="C8" s="669"/>
      <c r="D8" s="92"/>
      <c r="E8" s="2003" t="s">
        <v>86</v>
      </c>
      <c r="F8" s="2008"/>
      <c r="G8" s="2002"/>
      <c r="H8" s="2009" t="s">
        <v>87</v>
      </c>
      <c r="I8" s="2009"/>
      <c r="J8" s="84"/>
      <c r="K8" s="84"/>
      <c r="L8" s="84"/>
      <c r="M8" s="84"/>
      <c r="N8" s="148"/>
      <c r="O8" s="84"/>
      <c r="P8" s="147"/>
      <c r="Q8" s="147"/>
      <c r="R8" s="147"/>
      <c r="S8" s="147"/>
    </row>
    <row r="9" spans="1:28" s="1651" customFormat="1" ht="20.25" customHeight="1">
      <c r="A9" s="669"/>
      <c r="B9" s="352"/>
      <c r="C9" s="669"/>
      <c r="D9" s="92"/>
      <c r="E9" s="685" t="s">
        <v>88</v>
      </c>
      <c r="F9" s="685"/>
      <c r="G9" s="100" t="s">
        <v>89</v>
      </c>
      <c r="H9" s="100" t="s">
        <v>89</v>
      </c>
      <c r="I9" s="100" t="s">
        <v>85</v>
      </c>
      <c r="J9" s="84"/>
      <c r="K9" s="84"/>
      <c r="L9" s="84"/>
      <c r="M9" s="84"/>
      <c r="N9" s="148"/>
      <c r="O9" s="84"/>
      <c r="P9" s="147"/>
      <c r="Q9" s="147"/>
      <c r="R9" s="147"/>
      <c r="S9" s="147"/>
    </row>
    <row r="10" spans="1:28" ht="11.25" customHeight="1">
      <c r="D10" s="104"/>
      <c r="E10" s="686" t="s">
        <v>90</v>
      </c>
      <c r="F10" s="686"/>
      <c r="G10" s="145" t="s">
        <v>91</v>
      </c>
      <c r="H10" s="145" t="s">
        <v>92</v>
      </c>
      <c r="I10" s="145" t="s">
        <v>93</v>
      </c>
      <c r="J10" s="111"/>
      <c r="K10" s="111"/>
      <c r="L10" s="111"/>
      <c r="M10" s="111"/>
      <c r="N10" s="99"/>
      <c r="O10" s="111"/>
      <c r="P10" s="146"/>
      <c r="Q10" s="146"/>
      <c r="R10" s="146"/>
      <c r="S10" s="146"/>
    </row>
    <row r="11" spans="1:28" s="1651" customFormat="1" ht="0.75" customHeight="1">
      <c r="A11" s="669"/>
      <c r="B11" s="352"/>
      <c r="C11" s="669"/>
      <c r="D11" s="92"/>
      <c r="E11" s="697"/>
      <c r="F11" s="697"/>
      <c r="G11" s="101"/>
      <c r="H11" s="101"/>
      <c r="I11" s="103"/>
      <c r="J11" s="168" t="s">
        <v>94</v>
      </c>
      <c r="K11" s="84"/>
      <c r="L11" s="84"/>
      <c r="M11" s="84" t="s">
        <v>95</v>
      </c>
      <c r="N11" s="148" t="s">
        <v>96</v>
      </c>
      <c r="O11" s="84" t="s">
        <v>97</v>
      </c>
      <c r="P11" s="147"/>
      <c r="Q11" s="147"/>
      <c r="R11" s="147"/>
      <c r="S11" s="147"/>
    </row>
    <row r="12" spans="1:28" s="1651" customFormat="1" ht="14.25" customHeight="1">
      <c r="A12" s="2006">
        <v>1</v>
      </c>
      <c r="B12" s="352"/>
      <c r="C12" s="669"/>
      <c r="D12" s="689"/>
      <c r="E12" s="141">
        <f>A12</f>
        <v>1</v>
      </c>
      <c r="F12" s="709" t="s">
        <v>98</v>
      </c>
      <c r="G12" s="467" t="str">
        <f>"Территория "&amp;E12</f>
        <v>Территория 1</v>
      </c>
      <c r="H12" s="699"/>
      <c r="I12" s="699"/>
      <c r="J12" s="696"/>
      <c r="K12" s="428"/>
      <c r="L12" s="428"/>
      <c r="M12" s="428"/>
      <c r="N12" s="148"/>
      <c r="O12" s="428"/>
      <c r="P12" s="147"/>
      <c r="Q12" s="147"/>
      <c r="R12" s="147"/>
      <c r="S12" s="147"/>
    </row>
    <row r="13" spans="1:28" s="1753" customFormat="1" ht="15" customHeight="1">
      <c r="A13" s="2006"/>
      <c r="B13" s="352">
        <v>1</v>
      </c>
      <c r="C13" s="352"/>
      <c r="D13" s="707"/>
      <c r="E13" s="688" t="str">
        <f>A12&amp;"."&amp;B13</f>
        <v>1.1</v>
      </c>
      <c r="F13" s="702" t="s">
        <v>99</v>
      </c>
      <c r="G13" s="700" t="s">
        <v>100</v>
      </c>
      <c r="H13" s="700" t="s">
        <v>100</v>
      </c>
      <c r="I13" s="698" t="s">
        <v>101</v>
      </c>
      <c r="J13" s="428" t="e">
        <f ca="1">MERGEVALUE(G13)</f>
        <v>#NAME?</v>
      </c>
      <c r="K13" s="439"/>
      <c r="L13" s="439"/>
      <c r="M13" s="428" t="str">
        <f t="array" ref="M13">IF(ISERROR(MATCH(MID(N13,1,250),MID(note_ter,1,250),0)),"n","y")</f>
        <v>n</v>
      </c>
      <c r="N13" s="439"/>
      <c r="O13" s="428" t="str">
        <f>H13&amp;"("&amp;I13&amp;")"</f>
        <v>город Нижний Новгород(22701000)</v>
      </c>
      <c r="P13" s="352"/>
      <c r="Q13" s="352"/>
      <c r="R13" s="354"/>
      <c r="S13" s="352"/>
      <c r="T13" s="352"/>
      <c r="U13" s="352"/>
      <c r="V13" s="356"/>
      <c r="W13" s="356"/>
      <c r="X13" s="353"/>
      <c r="Y13" s="353"/>
      <c r="Z13" s="353"/>
      <c r="AA13" s="353"/>
      <c r="AB13" s="353"/>
    </row>
    <row r="14" spans="1:28" s="1753" customFormat="1" ht="15" customHeight="1">
      <c r="A14" s="2006"/>
      <c r="B14" s="352"/>
      <c r="C14" s="347"/>
      <c r="D14" s="708"/>
      <c r="E14" s="355"/>
      <c r="F14" s="105"/>
      <c r="G14" s="350" t="s">
        <v>102</v>
      </c>
      <c r="H14" s="112"/>
      <c r="I14" s="358"/>
      <c r="J14" s="439"/>
      <c r="K14" s="439"/>
      <c r="L14" s="439"/>
      <c r="M14" s="439"/>
      <c r="N14" s="428"/>
      <c r="O14" s="439"/>
      <c r="P14" s="352"/>
      <c r="Q14" s="352"/>
      <c r="R14" s="354"/>
      <c r="S14" s="352"/>
      <c r="T14" s="352"/>
      <c r="U14" s="352"/>
      <c r="V14" s="356"/>
      <c r="W14" s="356"/>
      <c r="X14" s="353"/>
      <c r="Y14" s="353"/>
      <c r="Z14" s="353"/>
      <c r="AA14" s="353"/>
      <c r="AB14" s="353"/>
    </row>
    <row r="15" spans="1:28" s="1651" customFormat="1" ht="14.25" customHeight="1">
      <c r="A15" s="669"/>
      <c r="B15" s="352"/>
      <c r="C15" s="669"/>
      <c r="D15" s="689"/>
      <c r="E15" s="701"/>
      <c r="F15" s="106"/>
      <c r="G15" s="351" t="s">
        <v>103</v>
      </c>
      <c r="H15" s="106"/>
      <c r="I15" s="107"/>
      <c r="J15" s="168"/>
      <c r="K15" s="84"/>
      <c r="L15" s="84"/>
      <c r="M15" s="84"/>
      <c r="N15" s="148" t="s">
        <v>104</v>
      </c>
      <c r="O15" s="84"/>
      <c r="P15" s="147"/>
      <c r="Q15" s="147"/>
      <c r="R15" s="147"/>
      <c r="S15" s="147"/>
    </row>
    <row r="16" spans="1:28" s="1651" customFormat="1" ht="21" customHeight="1">
      <c r="A16" s="669"/>
      <c r="B16" s="352"/>
      <c r="C16" s="669"/>
      <c r="D16" s="93"/>
      <c r="E16" s="108"/>
      <c r="F16" s="108"/>
      <c r="G16" s="108"/>
      <c r="H16" s="108"/>
      <c r="I16" s="108"/>
      <c r="J16" s="84"/>
      <c r="K16" s="84"/>
      <c r="L16" s="84"/>
      <c r="M16" s="84"/>
      <c r="N16" s="148"/>
      <c r="O16" s="84"/>
      <c r="P16" s="147"/>
      <c r="Q16" s="147"/>
      <c r="R16" s="147"/>
      <c r="S16" s="147"/>
    </row>
    <row r="17" spans="1:19" s="1651" customFormat="1" ht="14.25" customHeight="1">
      <c r="A17" s="669"/>
      <c r="B17" s="352"/>
      <c r="C17" s="669"/>
      <c r="D17" s="93"/>
      <c r="E17" s="22"/>
      <c r="F17" s="669"/>
      <c r="G17" s="22"/>
      <c r="H17" s="22"/>
      <c r="I17" s="22"/>
      <c r="J17" s="84"/>
      <c r="K17" s="84"/>
      <c r="L17" s="84"/>
      <c r="M17" s="84"/>
      <c r="N17" s="148"/>
      <c r="O17" s="84"/>
      <c r="P17" s="147"/>
      <c r="Q17" s="147"/>
      <c r="R17" s="147"/>
      <c r="S17" s="147"/>
    </row>
    <row r="18" spans="1:19" s="1651" customFormat="1" ht="0.75" customHeight="1">
      <c r="A18" s="669"/>
      <c r="B18" s="352"/>
      <c r="C18" s="669"/>
      <c r="D18" s="93"/>
      <c r="E18" s="22"/>
      <c r="F18" s="669"/>
      <c r="G18" s="22"/>
      <c r="H18" s="22"/>
      <c r="I18" s="22"/>
      <c r="J18" s="84"/>
      <c r="K18" s="84"/>
      <c r="L18" s="84"/>
      <c r="M18" s="84"/>
      <c r="N18" s="148"/>
      <c r="O18" s="84"/>
      <c r="P18" s="147"/>
      <c r="Q18" s="147"/>
      <c r="R18" s="147"/>
      <c r="S18" s="147"/>
    </row>
    <row r="19" spans="1:19" s="1737" customFormat="1" ht="10.5" customHeight="1">
      <c r="B19" s="740"/>
      <c r="D19" s="110"/>
      <c r="J19" s="84"/>
      <c r="K19" s="84"/>
      <c r="L19" s="84"/>
      <c r="M19" s="84"/>
      <c r="N19" s="148"/>
      <c r="O19" s="84"/>
      <c r="P19" s="147"/>
      <c r="Q19" s="147"/>
      <c r="R19" s="147"/>
      <c r="S19" s="147"/>
    </row>
    <row r="20" spans="1:19" s="1737" customFormat="1" ht="10.5" customHeight="1">
      <c r="B20" s="740"/>
      <c r="D20" s="110"/>
      <c r="J20" s="84"/>
      <c r="K20" s="84"/>
      <c r="L20" s="84"/>
      <c r="M20" s="84"/>
      <c r="N20" s="148"/>
      <c r="O20" s="84"/>
      <c r="P20" s="147"/>
      <c r="Q20" s="147"/>
      <c r="R20" s="147"/>
      <c r="S20" s="147"/>
    </row>
    <row r="24" spans="1:19" ht="14.25" customHeight="1">
      <c r="H24" s="5"/>
    </row>
    <row r="28" spans="1:19" ht="14.25" customHeight="1">
      <c r="J28" s="22"/>
      <c r="K28" s="22"/>
      <c r="L28" s="22"/>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60"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U29"/>
  <sheetViews>
    <sheetView showGridLines="0" topLeftCell="C4" zoomScale="90" workbookViewId="0"/>
  </sheetViews>
  <sheetFormatPr defaultColWidth="10.5703125" defaultRowHeight="15" customHeight="1"/>
  <cols>
    <col min="1" max="1" width="9.140625" style="1741" hidden="1" customWidth="1"/>
    <col min="2" max="2" width="9.140625" style="1846" hidden="1" customWidth="1"/>
    <col min="3" max="3" width="4.7109375" style="1704" customWidth="1"/>
    <col min="4" max="4" width="6.28515625" style="1846" customWidth="1"/>
    <col min="5" max="5" width="47.85546875" style="1846" customWidth="1"/>
    <col min="6" max="6" width="9.5703125" style="1846" customWidth="1"/>
    <col min="7" max="7" width="25.7109375" style="1846" hidden="1" customWidth="1"/>
    <col min="8" max="8" width="34" style="1846" hidden="1" customWidth="1"/>
    <col min="9" max="9" width="25.7109375" style="1846" customWidth="1"/>
    <col min="10" max="10" width="34" style="1846" customWidth="1"/>
    <col min="11" max="11" width="50.85546875" style="1759" customWidth="1"/>
    <col min="12" max="20" width="10.5703125" style="1846"/>
    <col min="21" max="21" width="10.5703125" style="1703"/>
  </cols>
  <sheetData>
    <row r="1" spans="1:21" s="1759" customFormat="1" ht="15" hidden="1" customHeight="1">
      <c r="C1" s="588"/>
      <c r="G1" s="352">
        <v>4</v>
      </c>
      <c r="I1" s="352">
        <v>4</v>
      </c>
      <c r="U1" s="354"/>
    </row>
    <row r="2" spans="1:21" s="1846" customFormat="1" ht="15" hidden="1" customHeight="1">
      <c r="A2" s="288"/>
      <c r="C2" s="104"/>
      <c r="D2" s="270"/>
      <c r="E2" s="589"/>
      <c r="F2" s="450"/>
      <c r="G2" s="538"/>
      <c r="H2" s="538"/>
      <c r="I2" s="538"/>
      <c r="J2" s="538"/>
      <c r="U2" s="590"/>
    </row>
    <row r="3" spans="1:21" s="1759" customFormat="1" ht="15" hidden="1" customHeight="1">
      <c r="C3" s="588"/>
      <c r="U3" s="354"/>
    </row>
    <row r="4" spans="1:21" ht="15" customHeight="1">
      <c r="C4" s="104"/>
      <c r="D4" s="437"/>
      <c r="E4" s="437"/>
      <c r="F4" s="437"/>
      <c r="G4" s="437"/>
      <c r="H4" s="437"/>
      <c r="I4" s="437"/>
      <c r="J4" s="437"/>
    </row>
    <row r="5" spans="1:21" ht="63" customHeight="1">
      <c r="C5" s="104"/>
      <c r="D5" s="2014" t="s">
        <v>1598</v>
      </c>
      <c r="E5" s="2015"/>
      <c r="F5" s="2015"/>
      <c r="G5" s="2015"/>
      <c r="H5" s="2015"/>
      <c r="I5" s="2015"/>
      <c r="J5" s="2016"/>
    </row>
    <row r="6" spans="1:21" ht="15" customHeight="1">
      <c r="C6" s="104"/>
      <c r="D6" s="2126" t="str">
        <f>IF(org=0,"Не определено",org)</f>
        <v>ООО "Автозаводская ТЭЦ"</v>
      </c>
      <c r="E6" s="2127"/>
      <c r="F6" s="2127"/>
      <c r="G6" s="2127"/>
      <c r="H6" s="2127"/>
      <c r="I6" s="2127"/>
      <c r="J6" s="2128"/>
      <c r="K6" s="464"/>
    </row>
    <row r="7" spans="1:21" ht="15" customHeight="1">
      <c r="C7" s="104"/>
      <c r="D7" s="665"/>
      <c r="E7" s="437"/>
      <c r="F7" s="437"/>
      <c r="G7" s="464">
        <v>22</v>
      </c>
      <c r="I7" s="464">
        <v>1</v>
      </c>
      <c r="J7" s="665"/>
    </row>
    <row r="8" spans="1:21" s="1846" customFormat="1" ht="0.75" customHeight="1">
      <c r="A8" s="670"/>
      <c r="C8" s="104"/>
      <c r="D8" s="437"/>
      <c r="E8" s="437"/>
      <c r="F8" s="437"/>
      <c r="G8" s="464"/>
      <c r="H8" s="665"/>
      <c r="I8" s="464" t="s">
        <v>117</v>
      </c>
      <c r="J8" s="665"/>
      <c r="K8" s="352"/>
      <c r="U8" s="591"/>
    </row>
    <row r="9" spans="1:21" ht="15" customHeight="1">
      <c r="C9" s="104"/>
      <c r="D9" s="625"/>
      <c r="E9" s="2309" t="s">
        <v>105</v>
      </c>
      <c r="F9" s="2310"/>
      <c r="G9" s="2307" t="str">
        <f>IF(G8="","",INDEX(DIFFERENTIATION_UNMERGE_VD,MATCH(G8,DIFFERENTIATION_ID_DIFF,0)))</f>
        <v/>
      </c>
      <c r="H9" s="2308"/>
      <c r="I9" s="2307"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v>
      </c>
      <c r="J9" s="2308"/>
      <c r="K9" s="2080" t="s">
        <v>293</v>
      </c>
    </row>
    <row r="10" spans="1:21" s="1846" customFormat="1" ht="15" customHeight="1">
      <c r="A10" s="670"/>
      <c r="C10" s="104"/>
      <c r="D10" s="625"/>
      <c r="E10" s="2309" t="s">
        <v>1420</v>
      </c>
      <c r="F10" s="2310"/>
      <c r="G10" s="2307" t="str">
        <f>IF(G8="","",INDEX(DIFFERENTIATION_UNMERGE_AREA,MATCH(G8,DIFFERENTIATION_ID_DIFF,0)))</f>
        <v/>
      </c>
      <c r="H10" s="2308"/>
      <c r="I10" s="2307" t="str">
        <f>IF(I8="","",INDEX(DIFFERENTIATION_UNMERGE_AREA,MATCH(I8,DIFFERENTIATION_ID_DIFF,0)))</f>
        <v>Территория 1</v>
      </c>
      <c r="J10" s="2308"/>
      <c r="K10" s="2085"/>
      <c r="U10" s="591"/>
    </row>
    <row r="11" spans="1:21" s="1846" customFormat="1" ht="15" customHeight="1">
      <c r="A11" s="670"/>
      <c r="C11" s="104"/>
      <c r="D11" s="625"/>
      <c r="E11" s="2309" t="s">
        <v>1421</v>
      </c>
      <c r="F11" s="2310"/>
      <c r="G11" s="2307" t="str">
        <f>IF(G8="","",INDEX(DIFFERENTIATION_UNMERGE_SYSTEM,MATCH(G8,DIFFERENTIATION_ID_DIFF,0)))</f>
        <v/>
      </c>
      <c r="H11" s="2308"/>
      <c r="I11" s="2307" t="str">
        <f>IF(I8="","",INDEX(DIFFERENTIATION_UNMERGE_SYSTEM,MATCH(I8,DIFFERENTIATION_ID_DIFF,0)))</f>
        <v>без дифференциации</v>
      </c>
      <c r="J11" s="2308"/>
      <c r="K11" s="2085"/>
      <c r="U11" s="591"/>
    </row>
    <row r="12" spans="1:21" s="1846" customFormat="1" ht="15" customHeight="1">
      <c r="A12" s="670"/>
      <c r="C12" s="104"/>
      <c r="D12" s="2311" t="s">
        <v>292</v>
      </c>
      <c r="E12" s="2312"/>
      <c r="F12" s="2312"/>
      <c r="G12" s="784"/>
      <c r="H12" s="784"/>
      <c r="I12" s="784"/>
      <c r="J12" s="784"/>
      <c r="K12" s="2085"/>
      <c r="U12" s="591"/>
    </row>
    <row r="13" spans="1:21" ht="33.75" customHeight="1">
      <c r="C13" s="104"/>
      <c r="D13" s="710" t="s">
        <v>88</v>
      </c>
      <c r="E13" s="713" t="s">
        <v>294</v>
      </c>
      <c r="F13" s="713" t="s">
        <v>1599</v>
      </c>
      <c r="G13" s="714" t="s">
        <v>295</v>
      </c>
      <c r="H13" s="713" t="s">
        <v>384</v>
      </c>
      <c r="I13" s="714" t="s">
        <v>295</v>
      </c>
      <c r="J13" s="713" t="s">
        <v>384</v>
      </c>
      <c r="K13" s="2136"/>
    </row>
    <row r="14" spans="1:21" ht="15" hidden="1" customHeight="1">
      <c r="C14" s="104"/>
      <c r="D14" s="518" t="s">
        <v>109</v>
      </c>
      <c r="E14" s="518" t="s">
        <v>110</v>
      </c>
      <c r="F14" s="518" t="s">
        <v>90</v>
      </c>
      <c r="G14" s="575" t="str">
        <f>G1&amp;".1"</f>
        <v>4.1</v>
      </c>
      <c r="H14" s="575"/>
      <c r="I14" s="575" t="str">
        <f>I1&amp;".1"</f>
        <v>4.1</v>
      </c>
      <c r="J14" s="575"/>
      <c r="K14" s="207"/>
    </row>
    <row r="15" spans="1:21" ht="22.5" hidden="1" customHeight="1">
      <c r="A15" s="433"/>
      <c r="C15" s="454"/>
      <c r="D15" s="449">
        <v>1</v>
      </c>
      <c r="E15" s="593" t="s">
        <v>1600</v>
      </c>
      <c r="F15" s="449" t="s">
        <v>1601</v>
      </c>
      <c r="G15" s="594"/>
      <c r="H15" s="594"/>
      <c r="I15" s="594"/>
      <c r="J15" s="594"/>
      <c r="K15" s="207" t="s">
        <v>1602</v>
      </c>
    </row>
    <row r="16" spans="1:21" ht="22.5" hidden="1" customHeight="1">
      <c r="A16" s="433"/>
      <c r="C16" s="454"/>
      <c r="D16" s="449">
        <v>2</v>
      </c>
      <c r="E16" s="198" t="s">
        <v>1603</v>
      </c>
      <c r="F16" s="449" t="s">
        <v>1604</v>
      </c>
      <c r="G16" s="594"/>
      <c r="H16" s="594"/>
      <c r="I16" s="594"/>
      <c r="J16" s="594"/>
      <c r="K16" s="207" t="s">
        <v>1605</v>
      </c>
    </row>
    <row r="17" spans="1:11" ht="123.75" hidden="1" customHeight="1">
      <c r="A17" s="433"/>
      <c r="C17" s="454"/>
      <c r="D17" s="449">
        <v>3</v>
      </c>
      <c r="E17" s="198" t="s">
        <v>1606</v>
      </c>
      <c r="F17" s="449" t="s">
        <v>298</v>
      </c>
      <c r="G17" s="594"/>
      <c r="H17" s="594"/>
      <c r="I17" s="594"/>
      <c r="J17" s="594"/>
      <c r="K17" s="207" t="s">
        <v>1607</v>
      </c>
    </row>
    <row r="18" spans="1:11" ht="45" customHeight="1">
      <c r="A18" s="433"/>
      <c r="C18" s="454"/>
      <c r="D18" s="449">
        <v>4</v>
      </c>
      <c r="E18" s="198" t="s">
        <v>1608</v>
      </c>
      <c r="F18" s="449" t="s">
        <v>298</v>
      </c>
      <c r="G18" s="715" t="s">
        <v>298</v>
      </c>
      <c r="H18" s="716" t="s">
        <v>298</v>
      </c>
      <c r="I18" s="449" t="s">
        <v>298</v>
      </c>
      <c r="J18" s="505" t="s">
        <v>298</v>
      </c>
      <c r="K18" s="207" t="s">
        <v>1609</v>
      </c>
    </row>
    <row r="19" spans="1:11" ht="33.75" customHeight="1">
      <c r="A19" s="433"/>
      <c r="C19" s="454"/>
      <c r="D19" s="466" t="s">
        <v>613</v>
      </c>
      <c r="E19" s="486" t="s">
        <v>1610</v>
      </c>
      <c r="F19" s="449" t="s">
        <v>1611</v>
      </c>
      <c r="G19" s="722"/>
      <c r="H19" s="42"/>
      <c r="I19" s="722"/>
      <c r="J19" s="723"/>
      <c r="K19" s="595"/>
    </row>
    <row r="20" spans="1:11" ht="33.75" customHeight="1">
      <c r="A20" s="433"/>
      <c r="C20" s="454"/>
      <c r="D20" s="466" t="s">
        <v>632</v>
      </c>
      <c r="E20" s="486" t="s">
        <v>1612</v>
      </c>
      <c r="F20" s="449" t="s">
        <v>1613</v>
      </c>
      <c r="G20" s="722"/>
      <c r="H20" s="42"/>
      <c r="I20" s="722"/>
      <c r="J20" s="42"/>
      <c r="K20" s="595"/>
    </row>
    <row r="21" spans="1:11" ht="45" customHeight="1">
      <c r="A21" s="433"/>
      <c r="C21" s="454"/>
      <c r="D21" s="466" t="s">
        <v>1614</v>
      </c>
      <c r="E21" s="486" t="s">
        <v>1615</v>
      </c>
      <c r="F21" s="449" t="s">
        <v>1616</v>
      </c>
      <c r="G21" s="596"/>
      <c r="H21" s="42"/>
      <c r="I21" s="596"/>
      <c r="J21" s="42"/>
      <c r="K21" s="595"/>
    </row>
    <row r="22" spans="1:11" ht="67.5" hidden="1" customHeight="1">
      <c r="A22" s="433"/>
      <c r="C22" s="454"/>
      <c r="D22" s="449">
        <v>5</v>
      </c>
      <c r="E22" s="198" t="s">
        <v>1617</v>
      </c>
      <c r="F22" s="449" t="s">
        <v>1618</v>
      </c>
      <c r="G22" s="597"/>
      <c r="H22" s="598"/>
      <c r="I22" s="597"/>
      <c r="J22" s="598"/>
      <c r="K22" s="207" t="s">
        <v>1619</v>
      </c>
    </row>
    <row r="23" spans="1:11" ht="33.75" hidden="1" customHeight="1">
      <c r="C23" s="384"/>
      <c r="D23" s="449">
        <v>6</v>
      </c>
      <c r="E23" s="198" t="s">
        <v>1620</v>
      </c>
      <c r="F23" s="449" t="s">
        <v>1621</v>
      </c>
      <c r="G23" s="597"/>
      <c r="H23" s="597"/>
      <c r="I23" s="597"/>
      <c r="J23" s="597"/>
      <c r="K23" s="207" t="s">
        <v>1622</v>
      </c>
    </row>
    <row r="29" spans="1:11" ht="15" customHeight="1">
      <c r="J29" s="724"/>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R22"/>
  <sheetViews>
    <sheetView showGridLines="0" topLeftCell="C4" zoomScale="90" workbookViewId="0"/>
  </sheetViews>
  <sheetFormatPr defaultColWidth="10.5703125" defaultRowHeight="15" customHeight="1"/>
  <cols>
    <col min="1" max="1" width="9.140625" style="1741" hidden="1" customWidth="1"/>
    <col min="2" max="2" width="9.140625" style="1846" hidden="1" customWidth="1"/>
    <col min="3" max="3" width="4.7109375" style="1704" customWidth="1"/>
    <col min="4" max="4" width="6.28515625" style="1846" customWidth="1"/>
    <col min="5" max="5" width="36.7109375" style="1846" customWidth="1"/>
    <col min="6" max="6" width="9.5703125" style="1846" customWidth="1"/>
    <col min="7" max="7" width="42.42578125" style="1846" hidden="1" customWidth="1"/>
    <col min="8" max="8" width="40.7109375" style="1846" customWidth="1"/>
    <col min="9" max="9" width="93.42578125" style="1759" customWidth="1"/>
    <col min="10" max="17" width="10.5703125" style="1846"/>
    <col min="18" max="18" width="10.5703125" style="1703"/>
  </cols>
  <sheetData>
    <row r="1" spans="1:18" s="1759" customFormat="1" ht="15" hidden="1" customHeight="1">
      <c r="C1" s="588"/>
      <c r="H1" s="352">
        <v>4</v>
      </c>
      <c r="R1" s="354"/>
    </row>
    <row r="2" spans="1:18" ht="22.5" hidden="1" customHeight="1">
      <c r="D2" s="466"/>
      <c r="E2" s="579"/>
      <c r="F2" s="1624" t="str">
        <f>IF(TEMPLATE_SPHERE="HEAT","Гкал/час","тыс. куб. м/сутки")</f>
        <v>Гкал/час</v>
      </c>
      <c r="G2" s="596"/>
      <c r="H2" s="596"/>
      <c r="I2" s="207"/>
    </row>
    <row r="3" spans="1:18" s="1759" customFormat="1" ht="15" hidden="1" customHeight="1">
      <c r="C3" s="588"/>
      <c r="R3" s="354"/>
    </row>
    <row r="4" spans="1:18" ht="15" customHeight="1">
      <c r="C4" s="104"/>
      <c r="D4" s="437"/>
      <c r="E4" s="437"/>
      <c r="F4" s="437"/>
      <c r="G4" s="437"/>
      <c r="H4" s="437"/>
    </row>
    <row r="5" spans="1:18" ht="47.25" customHeight="1">
      <c r="C5" s="104"/>
      <c r="D5" s="2313" t="str">
        <f>TP_NAME_FORM</f>
        <v>Форма 16.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13"/>
      <c r="F5" s="2313"/>
      <c r="G5" s="2313"/>
      <c r="H5" s="2313"/>
      <c r="I5" s="464"/>
    </row>
    <row r="6" spans="1:18" ht="15" customHeight="1">
      <c r="C6" s="104"/>
      <c r="D6" s="2113" t="str">
        <f>IF(org=0,"Не определено",org)</f>
        <v>ООО "Автозаводская ТЭЦ"</v>
      </c>
      <c r="E6" s="2113"/>
      <c r="F6" s="2113"/>
      <c r="G6" s="2113"/>
      <c r="H6" s="2113"/>
      <c r="I6" s="464"/>
    </row>
    <row r="7" spans="1:18" s="1846" customFormat="1" ht="15" customHeight="1">
      <c r="A7" s="670"/>
      <c r="C7" s="104"/>
      <c r="D7" s="592"/>
      <c r="E7" s="592"/>
      <c r="F7" s="592"/>
      <c r="G7" s="592"/>
      <c r="H7" s="665"/>
      <c r="I7" s="464"/>
      <c r="R7" s="591"/>
    </row>
    <row r="8" spans="1:18" ht="0.75" customHeight="1">
      <c r="C8" s="104"/>
      <c r="D8" s="437"/>
      <c r="E8" s="437"/>
      <c r="F8" s="437"/>
      <c r="G8" s="437"/>
      <c r="H8" s="464" t="s">
        <v>117</v>
      </c>
    </row>
    <row r="9" spans="1:18" ht="15" customHeight="1">
      <c r="C9" s="104"/>
      <c r="D9" s="625"/>
      <c r="E9" s="2309" t="s">
        <v>105</v>
      </c>
      <c r="F9" s="2310"/>
      <c r="G9" s="721" t="str">
        <f>IF(G8="","",INDEX(DIFFERENTIATION_UNMERGE_VD,MATCH(G8,DIFFERENTIATION_ID_DIFF,0)))</f>
        <v/>
      </c>
      <c r="H9" s="721"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v>
      </c>
      <c r="I9" s="2021" t="s">
        <v>293</v>
      </c>
    </row>
    <row r="10" spans="1:18" s="1846" customFormat="1" ht="15" customHeight="1">
      <c r="A10" s="670"/>
      <c r="C10" s="104"/>
      <c r="D10" s="625"/>
      <c r="E10" s="2309" t="s">
        <v>1420</v>
      </c>
      <c r="F10" s="2310"/>
      <c r="G10" s="721" t="str">
        <f>IF(G8="","",INDEX(DIFFERENTIATION_UNMERGE_AREA,MATCH(G8,DIFFERENTIATION_ID_DIFF,0)))</f>
        <v/>
      </c>
      <c r="H10" s="721" t="str">
        <f>IF(H8="","",INDEX(DIFFERENTIATION_UNMERGE_AREA,MATCH(H8,DIFFERENTIATION_ID_DIFF,0)))</f>
        <v>Территория 1</v>
      </c>
      <c r="I10" s="2021"/>
      <c r="R10" s="591"/>
    </row>
    <row r="11" spans="1:18" s="1846" customFormat="1" ht="15" customHeight="1">
      <c r="A11" s="670"/>
      <c r="C11" s="104"/>
      <c r="D11" s="625"/>
      <c r="E11" s="2309" t="s">
        <v>1421</v>
      </c>
      <c r="F11" s="2310"/>
      <c r="G11" s="721" t="str">
        <f>IF(G8="","",INDEX(DIFFERENTIATION_UNMERGE_SYSTEM,MATCH(G8,DIFFERENTIATION_ID_DIFF,0)))</f>
        <v/>
      </c>
      <c r="H11" s="721" t="str">
        <f>IF(H8="","",INDEX(DIFFERENTIATION_UNMERGE_SYSTEM,MATCH(H8,DIFFERENTIATION_ID_DIFF,0)))</f>
        <v>без дифференциации</v>
      </c>
      <c r="I11" s="2021"/>
      <c r="R11" s="591"/>
    </row>
    <row r="12" spans="1:18" s="1846" customFormat="1" ht="15" customHeight="1">
      <c r="A12" s="670"/>
      <c r="C12" s="104"/>
      <c r="D12" s="2311" t="s">
        <v>292</v>
      </c>
      <c r="E12" s="2312"/>
      <c r="F12" s="2312"/>
      <c r="G12" s="784"/>
      <c r="H12" s="784"/>
      <c r="I12" s="2021"/>
      <c r="R12" s="591"/>
    </row>
    <row r="13" spans="1:18" ht="33.75" customHeight="1">
      <c r="C13" s="104"/>
      <c r="D13" s="672" t="s">
        <v>88</v>
      </c>
      <c r="E13" s="671" t="s">
        <v>294</v>
      </c>
      <c r="F13" s="671" t="s">
        <v>1599</v>
      </c>
      <c r="G13" s="714" t="s">
        <v>295</v>
      </c>
      <c r="H13" s="667" t="s">
        <v>295</v>
      </c>
      <c r="I13" s="2021"/>
    </row>
    <row r="14" spans="1:18" ht="15" hidden="1" customHeight="1">
      <c r="C14" s="104"/>
      <c r="D14" s="518" t="s">
        <v>109</v>
      </c>
      <c r="E14" s="518" t="s">
        <v>110</v>
      </c>
      <c r="F14" s="518" t="s">
        <v>90</v>
      </c>
      <c r="G14" s="575" t="str">
        <f>G1&amp;".1"</f>
        <v>.1</v>
      </c>
      <c r="H14" s="575" t="str">
        <f>H1&amp;".1"</f>
        <v>4.1</v>
      </c>
      <c r="I14" s="207"/>
    </row>
    <row r="15" spans="1:18" ht="15" customHeight="1">
      <c r="A15" s="433"/>
      <c r="C15" s="454"/>
      <c r="D15" s="449">
        <v>1</v>
      </c>
      <c r="E15" s="593" t="str">
        <f>TP_P_A</f>
        <v>Количество поданных заявок</v>
      </c>
      <c r="F15" s="449" t="s">
        <v>1623</v>
      </c>
      <c r="G15" s="600"/>
      <c r="H15" s="600"/>
      <c r="I15" s="12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row>
    <row r="16" spans="1:18" ht="15" customHeight="1">
      <c r="A16" s="433"/>
      <c r="C16" s="454"/>
      <c r="D16" s="449">
        <v>2</v>
      </c>
      <c r="E16" s="198" t="str">
        <f>TP_P_B</f>
        <v>Количество рассмотренных заявок</v>
      </c>
      <c r="F16" s="449" t="s">
        <v>1623</v>
      </c>
      <c r="G16" s="600"/>
      <c r="H16" s="600"/>
      <c r="I16" s="12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row>
    <row r="17" spans="1:18" ht="33.75" customHeight="1">
      <c r="A17" s="433"/>
      <c r="C17" s="454"/>
      <c r="D17" s="449">
        <v>3</v>
      </c>
      <c r="E17" s="198"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49" t="s">
        <v>1623</v>
      </c>
      <c r="G17" s="600"/>
      <c r="H17" s="600"/>
      <c r="I17" s="129" t="str">
        <f>TP_P_NOTE_V</f>
        <v>Указывается количество заявок с решением об отказе в течение отчетного квартала.</v>
      </c>
    </row>
    <row r="18" spans="1:18" ht="22.5" customHeight="1">
      <c r="A18" s="433"/>
      <c r="C18" s="454"/>
      <c r="D18" s="449">
        <v>4</v>
      </c>
      <c r="E18" s="198" t="str">
        <f>TP_P_V_1</f>
        <v>Причины отказа в заключении договора о подключении (технологическом присоединении) к системе теплоснабжения</v>
      </c>
      <c r="F18" s="449" t="s">
        <v>298</v>
      </c>
      <c r="G18" s="601"/>
      <c r="H18" s="601"/>
      <c r="I18" s="744"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row>
    <row r="19" spans="1:18" ht="22.5" customHeight="1">
      <c r="A19" s="433"/>
      <c r="C19" s="454"/>
      <c r="D19" s="449">
        <v>5</v>
      </c>
      <c r="E19" s="198" t="str">
        <f>TP_P_G</f>
        <v>Резерв мощности источников тепловой энергии, входящих в систему теплоснабжения, в течение одного квартала, в том числе:</v>
      </c>
      <c r="F19" s="449" t="str">
        <f>IF(TEMPLATE_SPHERE="HEAT","Гкал/час","тыс. куб. м/сутки")</f>
        <v>Гкал/час</v>
      </c>
      <c r="G19" s="602">
        <f>SUM(G20:G22)</f>
        <v>0</v>
      </c>
      <c r="H19" s="602">
        <f>SUM(H20:H22)</f>
        <v>0</v>
      </c>
      <c r="I19" s="129"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r="20" spans="1:18" ht="15" hidden="1" customHeight="1">
      <c r="D20" s="437" t="s">
        <v>1624</v>
      </c>
      <c r="E20" s="603"/>
      <c r="F20" s="437"/>
      <c r="G20" s="437"/>
      <c r="H20" s="437"/>
      <c r="I20" s="1626"/>
    </row>
    <row r="21" spans="1:18" ht="27.75" customHeight="1">
      <c r="C21" s="384"/>
      <c r="D21" s="466" t="s">
        <v>307</v>
      </c>
      <c r="E21" s="586"/>
      <c r="F21" s="1624" t="str">
        <f>IF(TEMPLATE_SPHERE="HEAT","Гкал/час","тыс. куб. м/сутки")</f>
        <v>Гкал/час</v>
      </c>
      <c r="G21" s="596"/>
      <c r="H21" s="596"/>
      <c r="I21" s="2067"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r="22" spans="1:18" ht="15" customHeight="1">
      <c r="A22" s="433"/>
      <c r="C22" s="433"/>
      <c r="D22" s="271"/>
      <c r="E22" s="507" t="s">
        <v>1625</v>
      </c>
      <c r="F22" s="499"/>
      <c r="G22" s="499"/>
      <c r="H22" s="499"/>
      <c r="I22" s="2069"/>
      <c r="R22" s="433"/>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неотрицательных чисел!" sqref="G21:H21 G2:H2">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DD9C4"/>
  </sheetPr>
  <dimension ref="A1:U39"/>
  <sheetViews>
    <sheetView showGridLines="0" topLeftCell="C21" zoomScale="90" workbookViewId="0"/>
  </sheetViews>
  <sheetFormatPr defaultColWidth="10.5703125" defaultRowHeight="15" customHeight="1"/>
  <cols>
    <col min="1" max="1" width="9.140625" style="1741" hidden="1" customWidth="1"/>
    <col min="2" max="2" width="9.140625" style="1846" hidden="1" customWidth="1"/>
    <col min="3" max="3" width="4.7109375" style="1704" customWidth="1"/>
    <col min="4" max="4" width="6.28515625" style="1846" customWidth="1"/>
    <col min="5" max="5" width="36.7109375" style="1846" customWidth="1"/>
    <col min="6" max="6" width="9.5703125" style="1846" customWidth="1"/>
    <col min="7" max="7" width="25.7109375" style="1846" hidden="1" customWidth="1"/>
    <col min="8" max="8" width="33.7109375" style="1846" hidden="1" customWidth="1"/>
    <col min="9" max="9" width="25.7109375" style="1846" customWidth="1"/>
    <col min="10" max="10" width="33.7109375" style="1846" customWidth="1"/>
    <col min="11" max="11" width="93.42578125" style="1759" customWidth="1"/>
    <col min="12" max="20" width="10.5703125" style="1846"/>
    <col min="21" max="21" width="10.5703125" style="1703"/>
  </cols>
  <sheetData>
    <row r="1" spans="1:21" s="1759" customFormat="1" ht="15" hidden="1" customHeight="1">
      <c r="C1" s="588"/>
      <c r="G1" s="352">
        <v>4</v>
      </c>
      <c r="I1" s="352">
        <v>4</v>
      </c>
      <c r="U1" s="354"/>
    </row>
    <row r="2" spans="1:21" s="1759" customFormat="1" ht="15" hidden="1" customHeight="1">
      <c r="C2" s="588"/>
      <c r="U2" s="354"/>
    </row>
    <row r="3" spans="1:21" ht="22.5" hidden="1" customHeight="1">
      <c r="A3" s="433"/>
      <c r="B3" s="2314"/>
      <c r="C3" s="2315"/>
      <c r="D3" s="604" t="str">
        <f>B3&amp;".1"</f>
        <v>.1</v>
      </c>
      <c r="E3" s="605" t="s">
        <v>1626</v>
      </c>
      <c r="F3" s="606" t="s">
        <v>298</v>
      </c>
      <c r="G3" s="601"/>
      <c r="H3" s="336"/>
      <c r="I3" s="601"/>
      <c r="J3" s="336"/>
      <c r="K3" s="207" t="s">
        <v>1627</v>
      </c>
    </row>
    <row r="4" spans="1:21" ht="15" hidden="1" customHeight="1">
      <c r="A4" s="433"/>
      <c r="B4" s="2314"/>
      <c r="C4" s="2315"/>
      <c r="D4" s="604" t="str">
        <f>B3&amp;".2"</f>
        <v>.2</v>
      </c>
      <c r="E4" s="605" t="s">
        <v>1628</v>
      </c>
      <c r="F4" s="606" t="s">
        <v>298</v>
      </c>
      <c r="G4" s="1597" t="s">
        <v>17</v>
      </c>
      <c r="H4" s="336"/>
      <c r="I4" s="1597" t="s">
        <v>17</v>
      </c>
      <c r="J4" s="336"/>
      <c r="K4" s="207" t="s">
        <v>1629</v>
      </c>
    </row>
    <row r="5" spans="1:21" s="1759" customFormat="1" ht="15" hidden="1" customHeight="1">
      <c r="C5" s="588"/>
      <c r="U5" s="354"/>
    </row>
    <row r="6" spans="1:21" ht="22.5" hidden="1" customHeight="1">
      <c r="A6" s="433"/>
      <c r="B6" s="2314"/>
      <c r="C6" s="2315"/>
      <c r="D6" s="604" t="str">
        <f>B6&amp;".1"</f>
        <v>.1</v>
      </c>
      <c r="E6" s="605" t="s">
        <v>1630</v>
      </c>
      <c r="F6" s="606" t="s">
        <v>298</v>
      </c>
      <c r="G6" s="601"/>
      <c r="H6" s="336"/>
      <c r="I6" s="601"/>
      <c r="J6" s="336"/>
      <c r="K6" s="207" t="s">
        <v>1631</v>
      </c>
    </row>
    <row r="7" spans="1:21" ht="15" hidden="1" customHeight="1">
      <c r="A7" s="433"/>
      <c r="B7" s="2314"/>
      <c r="C7" s="2315"/>
      <c r="D7" s="604" t="str">
        <f>B6&amp;".2"</f>
        <v>.2</v>
      </c>
      <c r="E7" s="605" t="s">
        <v>1628</v>
      </c>
      <c r="F7" s="606" t="s">
        <v>298</v>
      </c>
      <c r="G7" s="1597" t="s">
        <v>17</v>
      </c>
      <c r="H7" s="336"/>
      <c r="I7" s="1597" t="s">
        <v>17</v>
      </c>
      <c r="J7" s="336"/>
      <c r="K7" s="207" t="s">
        <v>1629</v>
      </c>
    </row>
    <row r="8" spans="1:21" s="1759" customFormat="1" ht="15" hidden="1" customHeight="1">
      <c r="C8" s="588"/>
      <c r="U8" s="354"/>
    </row>
    <row r="9" spans="1:21" ht="22.5" hidden="1" customHeight="1">
      <c r="A9" s="433"/>
      <c r="B9" s="2314"/>
      <c r="C9" s="2315"/>
      <c r="D9" s="604" t="str">
        <f>B9&amp;".1"</f>
        <v>.1</v>
      </c>
      <c r="E9" s="605" t="s">
        <v>1632</v>
      </c>
      <c r="F9" s="606" t="s">
        <v>298</v>
      </c>
      <c r="G9" s="612" t="s">
        <v>17</v>
      </c>
      <c r="H9" s="336" t="s">
        <v>17</v>
      </c>
      <c r="I9" s="612" t="s">
        <v>17</v>
      </c>
      <c r="J9" s="336" t="s">
        <v>17</v>
      </c>
      <c r="K9" s="207"/>
    </row>
    <row r="10" spans="1:21" ht="15" hidden="1" customHeight="1">
      <c r="A10" s="433"/>
      <c r="B10" s="2314"/>
      <c r="C10" s="2315"/>
      <c r="D10" s="604" t="str">
        <f>B9&amp;".2"</f>
        <v>.2</v>
      </c>
      <c r="E10" s="605" t="s">
        <v>1633</v>
      </c>
      <c r="F10" s="606" t="s">
        <v>298</v>
      </c>
      <c r="G10" s="1591" t="s">
        <v>17</v>
      </c>
      <c r="H10" s="336" t="s">
        <v>17</v>
      </c>
      <c r="I10" s="1591" t="s">
        <v>17</v>
      </c>
      <c r="J10" s="336" t="s">
        <v>17</v>
      </c>
      <c r="K10" s="207" t="s">
        <v>1634</v>
      </c>
    </row>
    <row r="11" spans="1:21" ht="15" hidden="1" customHeight="1">
      <c r="A11" s="433"/>
      <c r="B11" s="2314"/>
      <c r="C11" s="2315"/>
      <c r="D11" s="604" t="str">
        <f>B9&amp;".3"</f>
        <v>.3</v>
      </c>
      <c r="E11" s="605" t="s">
        <v>1635</v>
      </c>
      <c r="F11" s="606" t="s">
        <v>298</v>
      </c>
      <c r="G11" s="1591" t="s">
        <v>17</v>
      </c>
      <c r="H11" s="336" t="s">
        <v>17</v>
      </c>
      <c r="I11" s="1591" t="s">
        <v>17</v>
      </c>
      <c r="J11" s="336" t="s">
        <v>17</v>
      </c>
      <c r="K11" s="207" t="s">
        <v>1636</v>
      </c>
    </row>
    <row r="12" spans="1:21" s="1759" customFormat="1" ht="15" hidden="1" customHeight="1">
      <c r="C12" s="588"/>
      <c r="U12" s="354"/>
    </row>
    <row r="13" spans="1:21" ht="33.75" hidden="1" customHeight="1">
      <c r="A13" s="433"/>
      <c r="B13" s="2314"/>
      <c r="C13" s="2315"/>
      <c r="D13" s="604" t="str">
        <f>B13&amp;".1"</f>
        <v>.1</v>
      </c>
      <c r="E13" s="605" t="s">
        <v>1637</v>
      </c>
      <c r="F13" s="606" t="s">
        <v>298</v>
      </c>
      <c r="G13" s="612" t="s">
        <v>17</v>
      </c>
      <c r="H13" s="336" t="s">
        <v>17</v>
      </c>
      <c r="I13" s="612" t="s">
        <v>17</v>
      </c>
      <c r="J13" s="336" t="s">
        <v>17</v>
      </c>
      <c r="K13" s="207" t="s">
        <v>1638</v>
      </c>
    </row>
    <row r="14" spans="1:21" ht="15" hidden="1" customHeight="1">
      <c r="B14" s="2314"/>
      <c r="C14" s="2315"/>
      <c r="D14" s="604" t="str">
        <f>B13&amp;".2"</f>
        <v>.2</v>
      </c>
      <c r="E14" s="605" t="s">
        <v>1639</v>
      </c>
      <c r="F14" s="606" t="s">
        <v>298</v>
      </c>
      <c r="G14" s="1591" t="s">
        <v>17</v>
      </c>
      <c r="H14" s="336" t="s">
        <v>17</v>
      </c>
      <c r="I14" s="1591" t="s">
        <v>17</v>
      </c>
      <c r="J14" s="336" t="s">
        <v>17</v>
      </c>
      <c r="K14" s="207" t="s">
        <v>1640</v>
      </c>
    </row>
    <row r="15" spans="1:21" s="1759" customFormat="1" ht="15" hidden="1" customHeight="1">
      <c r="C15" s="588"/>
      <c r="U15" s="354"/>
    </row>
    <row r="16" spans="1:21" s="1759" customFormat="1" ht="15" hidden="1" customHeight="1">
      <c r="C16" s="588"/>
      <c r="U16" s="354"/>
    </row>
    <row r="17" spans="1:21" s="1759" customFormat="1" ht="15" hidden="1" customHeight="1">
      <c r="C17" s="588"/>
      <c r="U17" s="354"/>
    </row>
    <row r="18" spans="1:21" s="1759" customFormat="1" ht="15" hidden="1" customHeight="1">
      <c r="C18" s="588"/>
      <c r="U18" s="354"/>
    </row>
    <row r="19" spans="1:21" s="1759" customFormat="1" ht="15" hidden="1" customHeight="1">
      <c r="C19" s="588"/>
      <c r="U19" s="354"/>
    </row>
    <row r="20" spans="1:21" s="1759" customFormat="1" ht="15" hidden="1" customHeight="1">
      <c r="C20" s="588"/>
      <c r="U20" s="354"/>
    </row>
    <row r="21" spans="1:21" ht="15" customHeight="1">
      <c r="C21" s="104"/>
      <c r="D21" s="437"/>
      <c r="E21" s="437"/>
      <c r="F21" s="437"/>
      <c r="G21" s="437"/>
      <c r="H21" s="437"/>
      <c r="I21" s="437"/>
      <c r="J21" s="437"/>
    </row>
    <row r="22" spans="1:21" ht="27.75" customHeight="1">
      <c r="C22" s="104"/>
      <c r="D22" s="2313" t="s">
        <v>1641</v>
      </c>
      <c r="E22" s="2313"/>
      <c r="F22" s="2313"/>
      <c r="G22" s="2313"/>
      <c r="H22" s="2313"/>
      <c r="I22" s="2313"/>
      <c r="J22" s="592"/>
      <c r="K22" s="464"/>
    </row>
    <row r="23" spans="1:21" ht="15" customHeight="1">
      <c r="C23" s="104"/>
      <c r="D23" s="2113" t="str">
        <f>IF(org=0,"Не определено",org)</f>
        <v>ООО "Автозаводская ТЭЦ"</v>
      </c>
      <c r="E23" s="2113"/>
      <c r="F23" s="2113"/>
      <c r="G23" s="2113"/>
      <c r="H23" s="2113"/>
      <c r="I23" s="2113"/>
      <c r="J23" s="592"/>
      <c r="K23" s="464"/>
    </row>
    <row r="24" spans="1:21" ht="15" customHeight="1">
      <c r="C24" s="104"/>
      <c r="D24" s="437"/>
      <c r="E24" s="437"/>
      <c r="F24" s="437"/>
      <c r="G24" s="464">
        <v>22</v>
      </c>
      <c r="H24" s="665"/>
      <c r="I24" s="464">
        <v>22</v>
      </c>
      <c r="J24" s="665"/>
    </row>
    <row r="25" spans="1:21" s="1846" customFormat="1" ht="0.75" customHeight="1">
      <c r="A25" s="670"/>
      <c r="C25" s="104"/>
      <c r="D25" s="437"/>
      <c r="E25" s="437"/>
      <c r="F25" s="437"/>
      <c r="G25" s="464"/>
      <c r="H25" s="665"/>
      <c r="I25" s="464" t="s">
        <v>117</v>
      </c>
      <c r="J25" s="665"/>
      <c r="K25" s="352"/>
      <c r="U25" s="591"/>
    </row>
    <row r="26" spans="1:21" ht="15" customHeight="1">
      <c r="C26" s="104"/>
      <c r="D26" s="625"/>
      <c r="E26" s="2309" t="s">
        <v>105</v>
      </c>
      <c r="F26" s="2310"/>
      <c r="G26" s="2307" t="str">
        <f>IF(G25="","",INDEX(DIFFERENTIATION_UNMERGE_VD,MATCH(G25,DIFFERENTIATION_ID_DIFF,0)))</f>
        <v/>
      </c>
      <c r="H26" s="2308"/>
      <c r="I26" s="2307"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v>
      </c>
      <c r="J26" s="2308"/>
      <c r="K26" s="2080" t="s">
        <v>293</v>
      </c>
    </row>
    <row r="27" spans="1:21" s="1846" customFormat="1" ht="15" customHeight="1">
      <c r="A27" s="670"/>
      <c r="C27" s="104"/>
      <c r="D27" s="625"/>
      <c r="E27" s="2309" t="s">
        <v>1420</v>
      </c>
      <c r="F27" s="2310"/>
      <c r="G27" s="2307" t="str">
        <f>IF(G25="","",INDEX(DIFFERENTIATION_UNMERGE_AREA,MATCH(G25,DIFFERENTIATION_ID_DIFF,0)))</f>
        <v/>
      </c>
      <c r="H27" s="2308"/>
      <c r="I27" s="2307" t="str">
        <f>IF(I25="","",INDEX(DIFFERENTIATION_UNMERGE_AREA,MATCH(I25,DIFFERENTIATION_ID_DIFF,0)))</f>
        <v>Территория 1</v>
      </c>
      <c r="J27" s="2308"/>
      <c r="K27" s="2084"/>
      <c r="U27" s="591"/>
    </row>
    <row r="28" spans="1:21" s="1846" customFormat="1" ht="15" customHeight="1">
      <c r="A28" s="670"/>
      <c r="C28" s="104"/>
      <c r="D28" s="625"/>
      <c r="E28" s="2309" t="s">
        <v>1421</v>
      </c>
      <c r="F28" s="2310"/>
      <c r="G28" s="2307" t="str">
        <f>IF(G25="","",INDEX(DIFFERENTIATION_UNMERGE_SYSTEM,MATCH(G25,DIFFERENTIATION_ID_DIFF,0)))</f>
        <v/>
      </c>
      <c r="H28" s="2308"/>
      <c r="I28" s="2307" t="str">
        <f>IF(I25="","",INDEX(DIFFERENTIATION_UNMERGE_SYSTEM,MATCH(I25,DIFFERENTIATION_ID_DIFF,0)))</f>
        <v>без дифференциации</v>
      </c>
      <c r="J28" s="2308"/>
      <c r="K28" s="2084"/>
      <c r="U28" s="591"/>
    </row>
    <row r="29" spans="1:21" s="1846" customFormat="1" ht="15" customHeight="1">
      <c r="A29" s="670"/>
      <c r="C29" s="104"/>
      <c r="D29" s="2311" t="s">
        <v>292</v>
      </c>
      <c r="E29" s="2312"/>
      <c r="F29" s="2312"/>
      <c r="G29" s="784"/>
      <c r="H29" s="784"/>
      <c r="I29" s="784"/>
      <c r="J29" s="785"/>
      <c r="K29" s="2084"/>
      <c r="U29" s="591"/>
    </row>
    <row r="30" spans="1:21" ht="33.75" customHeight="1">
      <c r="C30" s="104"/>
      <c r="D30" s="672" t="s">
        <v>88</v>
      </c>
      <c r="E30" s="671" t="s">
        <v>294</v>
      </c>
      <c r="F30" s="671" t="s">
        <v>1599</v>
      </c>
      <c r="G30" s="714" t="s">
        <v>295</v>
      </c>
      <c r="H30" s="713" t="s">
        <v>384</v>
      </c>
      <c r="I30" s="599" t="s">
        <v>295</v>
      </c>
      <c r="J30" s="394" t="s">
        <v>384</v>
      </c>
      <c r="K30" s="2087"/>
    </row>
    <row r="31" spans="1:21" ht="15" hidden="1" customHeight="1">
      <c r="C31" s="104"/>
      <c r="D31" s="518"/>
      <c r="E31" s="518"/>
      <c r="F31" s="518"/>
      <c r="G31" s="575"/>
      <c r="H31" s="575"/>
      <c r="I31" s="575"/>
      <c r="J31" s="575"/>
      <c r="K31" s="207"/>
    </row>
    <row r="32" spans="1:21" ht="22.5" customHeight="1">
      <c r="A32" s="433"/>
      <c r="B32" s="433" t="s">
        <v>1642</v>
      </c>
      <c r="C32" s="454"/>
      <c r="D32" s="607">
        <v>1</v>
      </c>
      <c r="E32" s="608" t="s">
        <v>1643</v>
      </c>
      <c r="F32" s="606" t="s">
        <v>298</v>
      </c>
      <c r="G32" s="718" t="s">
        <v>298</v>
      </c>
      <c r="H32" s="718" t="s">
        <v>298</v>
      </c>
      <c r="I32" s="606" t="s">
        <v>298</v>
      </c>
      <c r="J32" s="606" t="s">
        <v>298</v>
      </c>
      <c r="K32" s="207"/>
    </row>
    <row r="33" spans="1:21" ht="11.25" customHeight="1">
      <c r="A33" s="433"/>
      <c r="C33" s="433"/>
      <c r="D33" s="271"/>
      <c r="E33" s="507" t="s">
        <v>1556</v>
      </c>
      <c r="F33" s="499"/>
      <c r="G33" s="499"/>
      <c r="H33" s="499"/>
      <c r="I33" s="499"/>
      <c r="J33" s="499"/>
      <c r="K33" s="500"/>
      <c r="U33" s="433"/>
    </row>
    <row r="34" spans="1:21" ht="22.5" customHeight="1">
      <c r="A34" s="433"/>
      <c r="B34" s="508" t="s">
        <v>1453</v>
      </c>
      <c r="C34" s="454"/>
      <c r="D34" s="607">
        <v>2</v>
      </c>
      <c r="E34" s="608" t="s">
        <v>1644</v>
      </c>
      <c r="F34" s="725" t="s">
        <v>298</v>
      </c>
      <c r="G34" s="725" t="s">
        <v>298</v>
      </c>
      <c r="H34" s="725" t="s">
        <v>298</v>
      </c>
      <c r="I34" s="606"/>
      <c r="J34" s="606"/>
      <c r="K34" s="207"/>
    </row>
    <row r="35" spans="1:21" ht="11.25" customHeight="1">
      <c r="A35" s="433"/>
      <c r="C35" s="433"/>
      <c r="D35" s="271"/>
      <c r="E35" s="507" t="s">
        <v>1645</v>
      </c>
      <c r="F35" s="499"/>
      <c r="G35" s="609"/>
      <c r="H35" s="499"/>
      <c r="I35" s="609"/>
      <c r="J35" s="499"/>
      <c r="K35" s="500"/>
      <c r="U35" s="433"/>
    </row>
    <row r="36" spans="1:21" ht="67.5" customHeight="1">
      <c r="A36" s="433"/>
      <c r="B36" s="433" t="s">
        <v>1646</v>
      </c>
      <c r="C36" s="454"/>
      <c r="D36" s="607">
        <v>3</v>
      </c>
      <c r="E36" s="608" t="s">
        <v>1647</v>
      </c>
      <c r="F36" s="610" t="s">
        <v>298</v>
      </c>
      <c r="G36" s="719" t="s">
        <v>1648</v>
      </c>
      <c r="H36" s="718" t="s">
        <v>298</v>
      </c>
      <c r="I36" s="452" t="s">
        <v>1648</v>
      </c>
      <c r="J36" s="606" t="s">
        <v>298</v>
      </c>
      <c r="K36" s="207" t="s">
        <v>1649</v>
      </c>
    </row>
    <row r="37" spans="1:21" ht="11.25" customHeight="1">
      <c r="A37" s="433"/>
      <c r="C37" s="433"/>
      <c r="D37" s="271"/>
      <c r="E37" s="507" t="s">
        <v>1650</v>
      </c>
      <c r="F37" s="499"/>
      <c r="G37" s="609"/>
      <c r="H37" s="609"/>
      <c r="I37" s="609"/>
      <c r="J37" s="609"/>
      <c r="K37" s="500"/>
      <c r="U37" s="433"/>
    </row>
    <row r="38" spans="1:21" ht="67.5" customHeight="1">
      <c r="A38" s="433"/>
      <c r="B38" s="433" t="s">
        <v>1651</v>
      </c>
      <c r="C38" s="454"/>
      <c r="D38" s="607">
        <v>4</v>
      </c>
      <c r="E38" s="608" t="s">
        <v>1652</v>
      </c>
      <c r="F38" s="610" t="s">
        <v>298</v>
      </c>
      <c r="G38" s="719" t="s">
        <v>1648</v>
      </c>
      <c r="H38" s="720" t="s">
        <v>298</v>
      </c>
      <c r="I38" s="452" t="s">
        <v>1648</v>
      </c>
      <c r="J38" s="449" t="s">
        <v>298</v>
      </c>
      <c r="K38" s="595" t="s">
        <v>1653</v>
      </c>
    </row>
    <row r="39" spans="1:21" ht="11.25" customHeight="1">
      <c r="A39" s="433"/>
      <c r="C39" s="433"/>
      <c r="D39" s="271"/>
      <c r="E39" s="507" t="s">
        <v>1654</v>
      </c>
      <c r="F39" s="499"/>
      <c r="G39" s="499"/>
      <c r="H39" s="611"/>
      <c r="I39" s="499"/>
      <c r="J39" s="611"/>
      <c r="K39" s="500"/>
      <c r="U39" s="433"/>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F39"/>
  <sheetViews>
    <sheetView showGridLines="0" topLeftCell="C4" zoomScale="86" workbookViewId="0"/>
  </sheetViews>
  <sheetFormatPr defaultColWidth="10.5703125" defaultRowHeight="14.25" customHeight="1"/>
  <cols>
    <col min="1" max="1" width="9.140625" style="1740" hidden="1" customWidth="1"/>
    <col min="2" max="2" width="9.140625" style="1759" hidden="1" customWidth="1"/>
    <col min="3" max="3" width="3.7109375" style="1677" customWidth="1"/>
    <col min="4" max="4" width="6.28515625" style="1846" customWidth="1"/>
    <col min="5" max="5" width="46.7109375" style="1846" customWidth="1"/>
    <col min="6" max="6" width="35.7109375" style="1846" customWidth="1"/>
    <col min="7" max="7" width="3.7109375" style="1846" customWidth="1"/>
    <col min="8" max="9" width="11.7109375" style="1846" customWidth="1"/>
    <col min="10" max="11" width="35.7109375" style="1846" customWidth="1"/>
    <col min="12" max="12" width="84.85546875" style="1846" hidden="1" customWidth="1"/>
    <col min="13" max="13" width="10.5703125" style="1846"/>
    <col min="14" max="15" width="10.5703125" style="1765"/>
    <col min="16" max="32" width="10.5703125" style="1846"/>
  </cols>
  <sheetData>
    <row r="1" spans="1:32" ht="14.25" hidden="1" customHeight="1">
      <c r="S1" s="329"/>
      <c r="AF1" s="174"/>
    </row>
    <row r="2" spans="1:32" ht="14.25" hidden="1" customHeight="1"/>
    <row r="3" spans="1:32" ht="14.25" hidden="1" customHeight="1"/>
    <row r="4" spans="1:32" ht="6" customHeight="1">
      <c r="C4" s="304"/>
      <c r="D4" s="289"/>
      <c r="E4" s="289"/>
      <c r="F4" s="289"/>
      <c r="G4" s="289"/>
      <c r="H4" s="289"/>
      <c r="I4" s="289"/>
      <c r="J4" s="289"/>
      <c r="K4" s="24"/>
      <c r="L4" s="24"/>
    </row>
    <row r="5" spans="1:32" ht="26.25" customHeight="1">
      <c r="C5" s="304"/>
      <c r="D5" s="2301" t="s">
        <v>1655</v>
      </c>
      <c r="E5" s="2301"/>
      <c r="F5" s="2301"/>
      <c r="G5" s="2301"/>
      <c r="H5" s="2301"/>
      <c r="I5" s="2301"/>
      <c r="J5" s="2301"/>
      <c r="K5" s="2301"/>
      <c r="L5" s="142"/>
    </row>
    <row r="6" spans="1:32" ht="6" customHeight="1">
      <c r="C6" s="304"/>
      <c r="D6" s="289"/>
      <c r="E6" s="321"/>
      <c r="F6" s="321"/>
      <c r="G6" s="321"/>
      <c r="H6" s="321"/>
      <c r="I6" s="321"/>
      <c r="J6" s="321"/>
      <c r="K6" s="248"/>
      <c r="L6" s="118"/>
    </row>
    <row r="7" spans="1:32" ht="18.75" customHeight="1">
      <c r="C7" s="304"/>
      <c r="D7" s="289"/>
      <c r="E7" s="224" t="e">
        <f>"Дата подачи заявления об "&amp;IF(datePr_ch="","утверждении","изменении")&amp;" тарифов"</f>
        <v>#NAME?</v>
      </c>
      <c r="F7" s="2228" t="e">
        <f>IF(datePr_ch="",IF(datePr="","",datePr),datePr_ch)</f>
        <v>#NAME?</v>
      </c>
      <c r="G7" s="2228"/>
      <c r="H7" s="2228"/>
      <c r="I7" s="2228"/>
      <c r="J7" s="2228"/>
      <c r="K7" s="2228"/>
      <c r="L7" s="330"/>
      <c r="M7" s="253"/>
    </row>
    <row r="8" spans="1:32" ht="18.75" customHeight="1">
      <c r="C8" s="304"/>
      <c r="D8" s="289"/>
      <c r="E8" s="224" t="e">
        <f>"Номер подачи заявления об "&amp;IF(numberPr_ch="","утверждении","изменении")&amp;" тарифов"</f>
        <v>#NAME?</v>
      </c>
      <c r="F8" s="2228" t="e">
        <f>IF(numberPr_ch="",IF(numberPr="","",numberPr),numberPr_ch)</f>
        <v>#NAME?</v>
      </c>
      <c r="G8" s="2228"/>
      <c r="H8" s="2228"/>
      <c r="I8" s="2228"/>
      <c r="J8" s="2228"/>
      <c r="K8" s="2228"/>
      <c r="L8" s="330"/>
      <c r="M8" s="253"/>
    </row>
    <row r="9" spans="1:32" ht="14.25" customHeight="1">
      <c r="C9" s="304"/>
      <c r="D9" s="289"/>
      <c r="E9" s="321"/>
      <c r="F9" s="321"/>
      <c r="G9" s="321"/>
      <c r="H9" s="321"/>
      <c r="I9" s="321"/>
      <c r="J9" s="321"/>
      <c r="K9" s="665" t="s">
        <v>1656</v>
      </c>
      <c r="L9" s="118"/>
    </row>
    <row r="10" spans="1:32" ht="21" customHeight="1">
      <c r="C10" s="304"/>
      <c r="D10" s="2111" t="s">
        <v>292</v>
      </c>
      <c r="E10" s="2111"/>
      <c r="F10" s="2111"/>
      <c r="G10" s="2111"/>
      <c r="H10" s="2111"/>
      <c r="I10" s="2111"/>
      <c r="J10" s="2111"/>
      <c r="K10" s="2111"/>
      <c r="L10" s="2223" t="s">
        <v>293</v>
      </c>
    </row>
    <row r="11" spans="1:32" ht="21" customHeight="1">
      <c r="C11" s="304"/>
      <c r="D11" s="2251" t="s">
        <v>88</v>
      </c>
      <c r="E11" s="2118" t="s">
        <v>123</v>
      </c>
      <c r="F11" s="2118" t="s">
        <v>124</v>
      </c>
      <c r="G11" s="2316" t="s">
        <v>1657</v>
      </c>
      <c r="H11" s="2317"/>
      <c r="I11" s="2318"/>
      <c r="J11" s="2118" t="s">
        <v>295</v>
      </c>
      <c r="K11" s="2118" t="s">
        <v>384</v>
      </c>
      <c r="L11" s="2223"/>
    </row>
    <row r="12" spans="1:32" ht="21" customHeight="1">
      <c r="C12" s="304"/>
      <c r="D12" s="2253"/>
      <c r="E12" s="2119"/>
      <c r="F12" s="2119"/>
      <c r="G12" s="2117" t="s">
        <v>701</v>
      </c>
      <c r="H12" s="2131"/>
      <c r="I12" s="44" t="s">
        <v>1658</v>
      </c>
      <c r="J12" s="2119"/>
      <c r="K12" s="2119"/>
      <c r="L12" s="2223"/>
    </row>
    <row r="13" spans="1:32" ht="12" customHeight="1">
      <c r="C13" s="304"/>
      <c r="D13" s="200" t="s">
        <v>109</v>
      </c>
      <c r="E13" s="200" t="s">
        <v>110</v>
      </c>
      <c r="F13" s="200" t="s">
        <v>90</v>
      </c>
      <c r="G13" s="2319" t="s">
        <v>91</v>
      </c>
      <c r="H13" s="2319"/>
      <c r="I13" s="200" t="s">
        <v>111</v>
      </c>
      <c r="J13" s="200" t="s">
        <v>92</v>
      </c>
      <c r="K13" s="200" t="s">
        <v>93</v>
      </c>
      <c r="L13" s="200" t="s">
        <v>112</v>
      </c>
    </row>
    <row r="14" spans="1:32" ht="14.25" customHeight="1">
      <c r="A14" s="267"/>
      <c r="C14" s="304"/>
      <c r="D14" s="331">
        <v>1</v>
      </c>
      <c r="E14" s="2305" t="s">
        <v>1659</v>
      </c>
      <c r="F14" s="2305"/>
      <c r="G14" s="2305"/>
      <c r="H14" s="2305"/>
      <c r="I14" s="2305"/>
      <c r="J14" s="2305"/>
      <c r="K14" s="2305"/>
      <c r="L14" s="207"/>
      <c r="M14" s="259"/>
    </row>
    <row r="15" spans="1:32" ht="56.25" customHeight="1">
      <c r="A15" s="267"/>
      <c r="C15" s="304"/>
      <c r="D15" s="331" t="s">
        <v>620</v>
      </c>
      <c r="E15" s="122" t="s">
        <v>298</v>
      </c>
      <c r="F15" s="122" t="s">
        <v>298</v>
      </c>
      <c r="G15" s="2117" t="s">
        <v>298</v>
      </c>
      <c r="H15" s="2131"/>
      <c r="I15" s="122" t="s">
        <v>298</v>
      </c>
      <c r="J15" s="1700"/>
      <c r="K15" s="135"/>
      <c r="L15" s="269" t="s">
        <v>1660</v>
      </c>
      <c r="M15" s="259"/>
    </row>
    <row r="16" spans="1:32" ht="18.75" customHeight="1">
      <c r="A16" s="267"/>
      <c r="B16" s="75">
        <v>3</v>
      </c>
      <c r="C16" s="304"/>
      <c r="D16" s="332">
        <v>2</v>
      </c>
      <c r="E16" s="2320" t="s">
        <v>1661</v>
      </c>
      <c r="F16" s="2320"/>
      <c r="G16" s="2320"/>
      <c r="H16" s="2321"/>
      <c r="I16" s="2321"/>
      <c r="J16" s="2321" t="s">
        <v>298</v>
      </c>
      <c r="K16" s="2321"/>
      <c r="L16" s="319"/>
      <c r="M16" s="259"/>
    </row>
    <row r="17" spans="1:15" ht="77.25" customHeight="1">
      <c r="A17" s="267"/>
      <c r="C17" s="2322"/>
      <c r="D17" s="2323" t="s">
        <v>505</v>
      </c>
      <c r="E17" s="2324"/>
      <c r="F17" s="2169"/>
      <c r="G17" s="122"/>
      <c r="H17" s="1598"/>
      <c r="I17" s="1596"/>
      <c r="J17" s="1700"/>
      <c r="K17" s="122" t="s">
        <v>298</v>
      </c>
      <c r="L17" s="2067" t="s">
        <v>1662</v>
      </c>
      <c r="M17" s="259"/>
    </row>
    <row r="18" spans="1:15" ht="18.75" customHeight="1">
      <c r="A18" s="267"/>
      <c r="C18" s="2322"/>
      <c r="D18" s="2323"/>
      <c r="E18" s="2324"/>
      <c r="F18" s="2169"/>
      <c r="G18" s="333"/>
      <c r="H18" s="327" t="s">
        <v>1555</v>
      </c>
      <c r="I18" s="273"/>
      <c r="J18" s="273"/>
      <c r="K18" s="124"/>
      <c r="L18" s="2068"/>
      <c r="M18" s="259"/>
    </row>
    <row r="19" spans="1:15" ht="15" customHeight="1">
      <c r="A19" s="267"/>
      <c r="C19" s="304"/>
      <c r="D19" s="333"/>
      <c r="E19" s="334" t="s">
        <v>1663</v>
      </c>
      <c r="F19" s="335"/>
      <c r="G19" s="335"/>
      <c r="H19" s="273"/>
      <c r="I19" s="273"/>
      <c r="J19" s="273"/>
      <c r="K19" s="124"/>
      <c r="L19" s="2069"/>
      <c r="M19" s="259"/>
    </row>
    <row r="20" spans="1:15" ht="18.75" customHeight="1">
      <c r="A20" s="267"/>
      <c r="B20" s="75">
        <v>3</v>
      </c>
      <c r="C20" s="304"/>
      <c r="D20" s="76" t="s">
        <v>90</v>
      </c>
      <c r="E20" s="2305" t="s">
        <v>1664</v>
      </c>
      <c r="F20" s="2305"/>
      <c r="G20" s="2305"/>
      <c r="H20" s="2305"/>
      <c r="I20" s="2305"/>
      <c r="J20" s="2305"/>
      <c r="K20" s="2305"/>
      <c r="L20" s="215"/>
      <c r="M20" s="259"/>
    </row>
    <row r="21" spans="1:15" ht="33.75" customHeight="1">
      <c r="A21" s="267"/>
      <c r="C21" s="304"/>
      <c r="D21" s="331" t="s">
        <v>318</v>
      </c>
      <c r="E21" s="122" t="s">
        <v>298</v>
      </c>
      <c r="F21" s="122" t="s">
        <v>298</v>
      </c>
      <c r="G21" s="2117" t="s">
        <v>298</v>
      </c>
      <c r="H21" s="2131"/>
      <c r="I21" s="122" t="s">
        <v>298</v>
      </c>
      <c r="J21" s="122" t="s">
        <v>298</v>
      </c>
      <c r="K21" s="336"/>
      <c r="L21" s="269" t="s">
        <v>1665</v>
      </c>
      <c r="M21" s="259"/>
    </row>
    <row r="22" spans="1:15" ht="18.75" customHeight="1">
      <c r="A22" s="267"/>
      <c r="B22" s="75">
        <v>3</v>
      </c>
      <c r="C22" s="304"/>
      <c r="D22" s="76" t="s">
        <v>91</v>
      </c>
      <c r="E22" s="2305" t="s">
        <v>1666</v>
      </c>
      <c r="F22" s="2305"/>
      <c r="G22" s="2305"/>
      <c r="H22" s="2305"/>
      <c r="I22" s="2305"/>
      <c r="J22" s="2305"/>
      <c r="K22" s="2305"/>
      <c r="L22" s="215"/>
      <c r="M22" s="259"/>
    </row>
    <row r="23" spans="1:15" ht="54.75" customHeight="1">
      <c r="A23" s="267"/>
      <c r="C23" s="2322"/>
      <c r="D23" s="2323" t="s">
        <v>613</v>
      </c>
      <c r="E23" s="2324"/>
      <c r="F23" s="2169"/>
      <c r="G23" s="122"/>
      <c r="H23" s="1596"/>
      <c r="I23" s="1596"/>
      <c r="J23" s="1705"/>
      <c r="K23" s="122" t="s">
        <v>298</v>
      </c>
      <c r="L23" s="2067" t="s">
        <v>1667</v>
      </c>
      <c r="M23" s="259"/>
    </row>
    <row r="24" spans="1:15" ht="18.75" customHeight="1">
      <c r="A24" s="267"/>
      <c r="C24" s="2322"/>
      <c r="D24" s="2323"/>
      <c r="E24" s="2324"/>
      <c r="F24" s="2169"/>
      <c r="G24" s="333"/>
      <c r="H24" s="327" t="s">
        <v>1555</v>
      </c>
      <c r="I24" s="123"/>
      <c r="J24" s="123"/>
      <c r="K24" s="124"/>
      <c r="L24" s="2068"/>
      <c r="M24" s="259"/>
    </row>
    <row r="25" spans="1:15" ht="15" customHeight="1">
      <c r="A25" s="267"/>
      <c r="C25" s="304"/>
      <c r="D25" s="271"/>
      <c r="E25" s="334" t="s">
        <v>1663</v>
      </c>
      <c r="F25" s="123"/>
      <c r="G25" s="123"/>
      <c r="H25" s="123"/>
      <c r="I25" s="123"/>
      <c r="J25" s="123"/>
      <c r="K25" s="124"/>
      <c r="L25" s="2069"/>
      <c r="M25" s="259"/>
    </row>
    <row r="26" spans="1:15" ht="18.75" customHeight="1">
      <c r="A26" s="267"/>
      <c r="C26" s="304"/>
      <c r="D26" s="76" t="s">
        <v>111</v>
      </c>
      <c r="E26" s="2305" t="s">
        <v>1668</v>
      </c>
      <c r="F26" s="2305"/>
      <c r="G26" s="2305"/>
      <c r="H26" s="2305"/>
      <c r="I26" s="2305"/>
      <c r="J26" s="2305"/>
      <c r="K26" s="2305"/>
      <c r="L26" s="215"/>
      <c r="M26" s="259"/>
    </row>
    <row r="27" spans="1:15" ht="66" customHeight="1">
      <c r="A27" s="267"/>
      <c r="C27" s="2322"/>
      <c r="D27" s="2325" t="s">
        <v>307</v>
      </c>
      <c r="E27" s="2324"/>
      <c r="F27" s="2169"/>
      <c r="G27" s="122"/>
      <c r="H27" s="1598"/>
      <c r="I27" s="1596"/>
      <c r="J27" s="1705"/>
      <c r="K27" s="122" t="s">
        <v>298</v>
      </c>
      <c r="L27" s="2067" t="s">
        <v>1669</v>
      </c>
      <c r="M27" s="259"/>
    </row>
    <row r="28" spans="1:15" ht="18.75" customHeight="1">
      <c r="A28" s="267"/>
      <c r="C28" s="2322"/>
      <c r="D28" s="2326"/>
      <c r="E28" s="2324"/>
      <c r="F28" s="2169"/>
      <c r="G28" s="333"/>
      <c r="H28" s="327" t="s">
        <v>1555</v>
      </c>
      <c r="I28" s="123"/>
      <c r="J28" s="123"/>
      <c r="K28" s="124"/>
      <c r="L28" s="2068"/>
      <c r="M28" s="259"/>
    </row>
    <row r="29" spans="1:15" ht="15" customHeight="1">
      <c r="A29" s="267"/>
      <c r="C29" s="304"/>
      <c r="D29" s="271"/>
      <c r="E29" s="334" t="s">
        <v>1663</v>
      </c>
      <c r="F29" s="123"/>
      <c r="G29" s="123"/>
      <c r="H29" s="123"/>
      <c r="I29" s="123"/>
      <c r="J29" s="123"/>
      <c r="K29" s="124"/>
      <c r="L29" s="2069"/>
      <c r="M29" s="259"/>
    </row>
    <row r="30" spans="1:15" ht="26.25" customHeight="1">
      <c r="A30" s="267"/>
      <c r="C30" s="304"/>
      <c r="D30" s="76" t="s">
        <v>92</v>
      </c>
      <c r="E30" s="2305" t="s">
        <v>1670</v>
      </c>
      <c r="F30" s="2305"/>
      <c r="G30" s="2305"/>
      <c r="H30" s="2305"/>
      <c r="I30" s="2305"/>
      <c r="J30" s="2305"/>
      <c r="K30" s="2305"/>
      <c r="L30" s="215"/>
      <c r="M30" s="259"/>
    </row>
    <row r="31" spans="1:15" ht="99" customHeight="1">
      <c r="A31" s="267"/>
      <c r="C31" s="2322"/>
      <c r="D31" s="2325" t="s">
        <v>518</v>
      </c>
      <c r="E31" s="2324"/>
      <c r="F31" s="2169"/>
      <c r="G31" s="122"/>
      <c r="H31" s="1598"/>
      <c r="I31" s="1596"/>
      <c r="J31" s="1705"/>
      <c r="K31" s="122" t="s">
        <v>298</v>
      </c>
      <c r="L31" s="2067" t="s">
        <v>1671</v>
      </c>
      <c r="M31" s="259"/>
      <c r="O31" s="274" t="s">
        <v>1583</v>
      </c>
    </row>
    <row r="32" spans="1:15" ht="18.75" customHeight="1">
      <c r="A32" s="267"/>
      <c r="C32" s="2322"/>
      <c r="D32" s="2326"/>
      <c r="E32" s="2324"/>
      <c r="F32" s="2169"/>
      <c r="G32" s="333"/>
      <c r="H32" s="327" t="s">
        <v>1555</v>
      </c>
      <c r="I32" s="123"/>
      <c r="J32" s="123"/>
      <c r="K32" s="124"/>
      <c r="L32" s="2068"/>
      <c r="M32" s="259"/>
    </row>
    <row r="33" spans="1:15" ht="15" customHeight="1">
      <c r="A33" s="267"/>
      <c r="C33" s="304"/>
      <c r="D33" s="271"/>
      <c r="E33" s="334" t="s">
        <v>1663</v>
      </c>
      <c r="F33" s="123"/>
      <c r="G33" s="123"/>
      <c r="H33" s="123"/>
      <c r="I33" s="123"/>
      <c r="J33" s="123"/>
      <c r="K33" s="124"/>
      <c r="L33" s="2069"/>
      <c r="M33" s="259"/>
    </row>
    <row r="34" spans="1:15" ht="25.5" customHeight="1">
      <c r="A34" s="267"/>
      <c r="B34" s="75">
        <v>3</v>
      </c>
      <c r="C34" s="304"/>
      <c r="D34" s="76" t="s">
        <v>93</v>
      </c>
      <c r="E34" s="2305" t="s">
        <v>1672</v>
      </c>
      <c r="F34" s="2305"/>
      <c r="G34" s="2305"/>
      <c r="H34" s="2305"/>
      <c r="I34" s="2305"/>
      <c r="J34" s="2305"/>
      <c r="K34" s="2305"/>
      <c r="L34" s="215"/>
      <c r="M34" s="259"/>
    </row>
    <row r="35" spans="1:15" ht="99" customHeight="1">
      <c r="A35" s="267"/>
      <c r="C35" s="2322"/>
      <c r="D35" s="2325" t="s">
        <v>1673</v>
      </c>
      <c r="E35" s="2324"/>
      <c r="F35" s="2169"/>
      <c r="G35" s="122"/>
      <c r="H35" s="1598"/>
      <c r="I35" s="1596"/>
      <c r="J35" s="1705"/>
      <c r="K35" s="122" t="s">
        <v>298</v>
      </c>
      <c r="L35" s="2067" t="s">
        <v>1674</v>
      </c>
      <c r="M35" s="259"/>
    </row>
    <row r="36" spans="1:15" ht="18.75" customHeight="1">
      <c r="A36" s="267"/>
      <c r="C36" s="2322"/>
      <c r="D36" s="2326"/>
      <c r="E36" s="2324"/>
      <c r="F36" s="2169"/>
      <c r="G36" s="333"/>
      <c r="H36" s="327" t="s">
        <v>1555</v>
      </c>
      <c r="I36" s="123"/>
      <c r="J36" s="123"/>
      <c r="K36" s="124"/>
      <c r="L36" s="2068"/>
      <c r="M36" s="259"/>
    </row>
    <row r="37" spans="1:15" ht="15" customHeight="1">
      <c r="A37" s="267"/>
      <c r="C37" s="304"/>
      <c r="D37" s="271"/>
      <c r="E37" s="334" t="s">
        <v>1663</v>
      </c>
      <c r="F37" s="123"/>
      <c r="G37" s="123"/>
      <c r="H37" s="123"/>
      <c r="I37" s="123"/>
      <c r="J37" s="123"/>
      <c r="K37" s="124"/>
      <c r="L37" s="2069"/>
      <c r="M37" s="259"/>
    </row>
    <row r="38" spans="1:15" s="1814" customFormat="1" ht="3" customHeight="1">
      <c r="A38" s="267"/>
      <c r="D38" s="337"/>
      <c r="E38" s="337"/>
      <c r="F38" s="337"/>
      <c r="G38" s="337"/>
      <c r="H38" s="337"/>
      <c r="I38" s="337"/>
      <c r="J38" s="337"/>
      <c r="K38" s="337"/>
      <c r="L38" s="337"/>
      <c r="N38" s="120"/>
      <c r="O38" s="120"/>
    </row>
    <row r="39" spans="1:15" ht="24.75" customHeight="1">
      <c r="D39" s="125">
        <v>1</v>
      </c>
      <c r="E39" s="2234" t="s">
        <v>1675</v>
      </c>
      <c r="F39" s="2234"/>
      <c r="G39" s="2234"/>
      <c r="H39" s="2234"/>
      <c r="I39" s="2234"/>
      <c r="J39" s="2234"/>
      <c r="K39" s="2234"/>
      <c r="L39" s="2234"/>
    </row>
  </sheetData>
  <sheetProtection formatColumns="0" formatRows="0" insertRows="0" deleteColumns="0" deleteRows="0" sort="0" autoFilter="0"/>
  <mergeCells count="48">
    <mergeCell ref="E39:L39"/>
    <mergeCell ref="E34:K34"/>
    <mergeCell ref="C35:C36"/>
    <mergeCell ref="D35:D36"/>
    <mergeCell ref="E35:E36"/>
    <mergeCell ref="F35:F36"/>
    <mergeCell ref="L35:L37"/>
    <mergeCell ref="L31:L33"/>
    <mergeCell ref="L23:L25"/>
    <mergeCell ref="E26:K26"/>
    <mergeCell ref="C27:C28"/>
    <mergeCell ref="D27:D28"/>
    <mergeCell ref="E27:E28"/>
    <mergeCell ref="F27:F28"/>
    <mergeCell ref="L27:L29"/>
    <mergeCell ref="E30:K30"/>
    <mergeCell ref="C31:C32"/>
    <mergeCell ref="D31:D32"/>
    <mergeCell ref="E31:E32"/>
    <mergeCell ref="F31:F32"/>
    <mergeCell ref="G21:H21"/>
    <mergeCell ref="E22:K22"/>
    <mergeCell ref="C23:C24"/>
    <mergeCell ref="D23:D24"/>
    <mergeCell ref="E23:E24"/>
    <mergeCell ref="F23:F24"/>
    <mergeCell ref="C17:C18"/>
    <mergeCell ref="D17:D18"/>
    <mergeCell ref="E17:E18"/>
    <mergeCell ref="F17:F18"/>
    <mergeCell ref="L17:L19"/>
    <mergeCell ref="E20:K20"/>
    <mergeCell ref="K11:K12"/>
    <mergeCell ref="G12:H12"/>
    <mergeCell ref="G13:H13"/>
    <mergeCell ref="E14:K14"/>
    <mergeCell ref="G15:H15"/>
    <mergeCell ref="E16:K16"/>
    <mergeCell ref="D5:K5"/>
    <mergeCell ref="F7:K7"/>
    <mergeCell ref="F8:K8"/>
    <mergeCell ref="D10:K10"/>
    <mergeCell ref="L10:L12"/>
    <mergeCell ref="D11:D12"/>
    <mergeCell ref="E11:E12"/>
    <mergeCell ref="F11:F12"/>
    <mergeCell ref="G11:I11"/>
    <mergeCell ref="J11:J12"/>
  </mergeCells>
  <dataValidations count="6">
    <dataValidation type="textLength" operator="lessThanOrEqual" allowBlank="1" showInputMessage="1" showErrorMessage="1" errorTitle="Ошибка" error="Допускается ввод не более 900 символов!" prompt="В случае отсутствия утвержденной в установленном порядке инвестиционной программы (проекта инвестиционной программы) укажите &quot;отсутствует&quot; в данной ячейке" sqref="J15">
      <formula1>900</formula1>
    </dataValidation>
    <dataValidation type="textLength" operator="lessThanOrEqual" allowBlank="1" showInputMessage="1" showErrorMessage="1" errorTitle="Ошибка" error="Допускается ввод не более 900 символов!" sqref="L27 L31 L16:L17 L23 L3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5 K21">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H31:I31 H17:I17 H23:I23 H27:I27 H35:I35"/>
    <dataValidation type="list" allowBlank="1" showInputMessage="1" showErrorMessage="1" errorTitle="Ошибка" error="Выберите значение из списка" prompt="Выберите значение из списка" sqref="J17">
      <formula1>kind_of_control_method</formula1>
    </dataValidation>
    <dataValidation type="decimal" allowBlank="1" showErrorMessage="1" errorTitle="Ошибка" error="Допускается ввод только действительных чисел!" sqref="J27 J31 J23 J35">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759" hidden="1"/>
    <col min="2" max="2" width="11" style="1759" hidden="1" customWidth="1"/>
    <col min="3" max="3" width="10.5703125" style="1759" hidden="1"/>
    <col min="4" max="4" width="11.85546875" style="1759" hidden="1" customWidth="1"/>
    <col min="5" max="5" width="10" style="1759" hidden="1" customWidth="1"/>
    <col min="6" max="6" width="8.7109375" style="1759" hidden="1" customWidth="1"/>
    <col min="7" max="7" width="7.5703125" style="1759" hidden="1" customWidth="1"/>
    <col min="8" max="8" width="11.42578125" style="1759" hidden="1" customWidth="1"/>
    <col min="9" max="9" width="14.140625" style="1759" hidden="1" customWidth="1"/>
    <col min="10" max="10" width="9.85546875" style="1759" hidden="1" customWidth="1"/>
    <col min="11" max="11" width="14.7109375" style="1759" hidden="1" customWidth="1"/>
    <col min="12" max="12" width="19.140625" style="1758" hidden="1" customWidth="1"/>
    <col min="13" max="14" width="12.28515625" style="1686" hidden="1" customWidth="1"/>
    <col min="15" max="15" width="23.42578125" style="1686" hidden="1" customWidth="1"/>
    <col min="16" max="16" width="3.7109375" style="1740" customWidth="1"/>
    <col min="17" max="18" width="3.7109375" style="1677" customWidth="1"/>
    <col min="19" max="19" width="12.7109375" style="1727" customWidth="1"/>
    <col min="20" max="20" width="35.7109375" style="1846" customWidth="1"/>
    <col min="21" max="21" width="0.140625" style="1846" customWidth="1"/>
    <col min="22" max="24" width="24.7109375" style="1846" hidden="1" customWidth="1"/>
    <col min="25" max="25" width="11.7109375" style="1846" hidden="1" customWidth="1"/>
    <col min="26" max="26" width="3.7109375" style="1846" hidden="1" customWidth="1"/>
    <col min="27" max="27" width="11.7109375" style="1846" hidden="1" customWidth="1"/>
    <col min="28" max="28" width="8.5703125" style="1846" hidden="1" customWidth="1"/>
    <col min="29" max="31" width="24.7109375" style="1846" customWidth="1"/>
    <col min="32" max="32" width="11.7109375" style="1846" customWidth="1"/>
    <col min="33" max="33" width="3.7109375" style="1846" customWidth="1"/>
    <col min="34" max="34" width="11.7109375" style="1846" customWidth="1"/>
    <col min="35" max="35" width="8.5703125" style="1846" hidden="1" customWidth="1"/>
    <col min="36" max="36" width="4.7109375" style="1846" customWidth="1"/>
    <col min="37" max="37" width="115.7109375" style="1846" customWidth="1"/>
    <col min="38" max="39" width="10.5703125" style="1772"/>
    <col min="40" max="40" width="11.140625" style="1772" customWidth="1"/>
    <col min="41" max="42" width="10.5703125" style="1772"/>
  </cols>
  <sheetData>
    <row r="1" spans="1:42" ht="14.25" hidden="1" customHeight="1">
      <c r="X1" s="254"/>
      <c r="Y1" s="254"/>
      <c r="AE1" s="254"/>
      <c r="AF1" s="254"/>
    </row>
    <row r="2" spans="1:42" ht="23.25" hidden="1" customHeight="1">
      <c r="A2" s="1244"/>
      <c r="B2" s="1244"/>
      <c r="C2" s="1244"/>
      <c r="D2" s="1244"/>
      <c r="E2" s="2235">
        <v>1</v>
      </c>
      <c r="F2" s="1244"/>
      <c r="G2" s="1244"/>
      <c r="H2" s="1244"/>
      <c r="I2" s="1244"/>
      <c r="J2" s="1244"/>
      <c r="K2" s="1244"/>
      <c r="L2" s="1245"/>
      <c r="M2" s="1246"/>
      <c r="N2" s="1246"/>
      <c r="O2" s="1246"/>
      <c r="P2" s="285"/>
      <c r="Q2" s="284"/>
      <c r="R2" s="279"/>
      <c r="S2" s="1294" t="e">
        <f>INDEX(PT_DIFFERENTIATION_NUM_NTAR,MATCH(A2,PT_DIFFERENTIATION_NTAR_ID,0))</f>
        <v>#N/A</v>
      </c>
      <c r="T2" s="216" t="s">
        <v>124</v>
      </c>
      <c r="U2" s="218"/>
      <c r="V2" s="2229"/>
      <c r="W2" s="2230"/>
      <c r="X2" s="2230"/>
      <c r="Y2" s="2230"/>
      <c r="Z2" s="2230"/>
      <c r="AA2" s="2230"/>
      <c r="AB2" s="2231"/>
      <c r="AC2" s="2229" t="e">
        <f>INDEX(PT_DIFFERENTIATION_NTAR,MATCH(A2,PT_DIFFERENTIATION_NTAR_ID,0))</f>
        <v>#N/A</v>
      </c>
      <c r="AD2" s="2230"/>
      <c r="AE2" s="2230"/>
      <c r="AF2" s="2230"/>
      <c r="AG2" s="2230"/>
      <c r="AH2" s="2230"/>
      <c r="AI2" s="2230"/>
      <c r="AJ2" s="2231"/>
      <c r="AK2" s="114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8"/>
      <c r="AN2" s="428" t="str">
        <f t="shared" ref="AN2:AN13" si="0">IF(T2="","",T2)</f>
        <v>Наименование тарифа</v>
      </c>
      <c r="AO2" s="428"/>
      <c r="AP2" s="428"/>
    </row>
    <row r="3" spans="1:42" ht="23.25" hidden="1" customHeight="1">
      <c r="A3" s="1244"/>
      <c r="B3" s="1244"/>
      <c r="C3" s="1244"/>
      <c r="D3" s="1244"/>
      <c r="E3" s="2236"/>
      <c r="F3" s="2235">
        <v>1</v>
      </c>
      <c r="G3" s="1244"/>
      <c r="H3" s="1244"/>
      <c r="I3" s="1244"/>
      <c r="J3" s="1244"/>
      <c r="K3" s="1244"/>
      <c r="L3" s="1245"/>
      <c r="M3" s="1246"/>
      <c r="N3" s="1246"/>
      <c r="O3" s="1246"/>
      <c r="P3" s="1292"/>
      <c r="Q3" s="276"/>
      <c r="R3" s="277"/>
      <c r="S3" s="1294" t="e">
        <f>INDEX(PT_DIFFERENTIATION_NUM_TER,MATCH(B3,PT_DIFFERENTIATION_TER_ID,0))</f>
        <v>#N/A</v>
      </c>
      <c r="T3" s="228" t="s">
        <v>1461</v>
      </c>
      <c r="U3" s="218"/>
      <c r="V3" s="2229"/>
      <c r="W3" s="2230"/>
      <c r="X3" s="2230"/>
      <c r="Y3" s="2230"/>
      <c r="Z3" s="2230"/>
      <c r="AA3" s="2230"/>
      <c r="AB3" s="2231"/>
      <c r="AC3" s="2229" t="e">
        <f>INDEX(PT_DIFFERENTIATION_TER,MATCH(B3,PT_DIFFERENTIATION_TER_ID,0))</f>
        <v>#N/A</v>
      </c>
      <c r="AD3" s="2230"/>
      <c r="AE3" s="2230"/>
      <c r="AF3" s="2230"/>
      <c r="AG3" s="2230"/>
      <c r="AH3" s="2230"/>
      <c r="AI3" s="2230"/>
      <c r="AJ3" s="2231"/>
      <c r="AK3" s="1140" t="s">
        <v>1462</v>
      </c>
      <c r="AM3" s="428"/>
      <c r="AN3" s="428" t="str">
        <f t="shared" si="0"/>
        <v>Территория действия тарифа</v>
      </c>
      <c r="AO3" s="428"/>
      <c r="AP3" s="428"/>
    </row>
    <row r="4" spans="1:42" ht="23.25" hidden="1" customHeight="1">
      <c r="A4" s="1244"/>
      <c r="B4" s="1244"/>
      <c r="C4" s="1244"/>
      <c r="D4" s="1244"/>
      <c r="E4" s="2236"/>
      <c r="F4" s="2236"/>
      <c r="G4" s="2235">
        <v>1</v>
      </c>
      <c r="H4" s="1244"/>
      <c r="I4" s="1244"/>
      <c r="J4" s="1244"/>
      <c r="K4" s="1244"/>
      <c r="L4" s="1245"/>
      <c r="M4" s="1246"/>
      <c r="N4" s="1246"/>
      <c r="O4" s="1246"/>
      <c r="P4" s="278"/>
      <c r="Q4" s="276"/>
      <c r="R4" s="277"/>
      <c r="S4" s="1294" t="e">
        <f>INDEX(PT_DIFFERENTIATION_NUM_CS,MATCH(C4,PT_DIFFERENTIATION_CS_ID,0))</f>
        <v>#N/A</v>
      </c>
      <c r="T4" s="229" t="s">
        <v>1676</v>
      </c>
      <c r="U4" s="218"/>
      <c r="V4" s="2229"/>
      <c r="W4" s="2230"/>
      <c r="X4" s="2230"/>
      <c r="Y4" s="2230"/>
      <c r="Z4" s="2230"/>
      <c r="AA4" s="2230"/>
      <c r="AB4" s="2231"/>
      <c r="AC4" s="2229" t="e">
        <f>INDEX(PT_DIFFERENTIATION_CS,MATCH(C4,PT_DIFFERENTIATION_CS_ID,0))</f>
        <v>#N/A</v>
      </c>
      <c r="AD4" s="2230"/>
      <c r="AE4" s="2230"/>
      <c r="AF4" s="2230"/>
      <c r="AG4" s="2230"/>
      <c r="AH4" s="2230"/>
      <c r="AI4" s="2230"/>
      <c r="AJ4" s="2231"/>
      <c r="AK4" s="1140" t="s">
        <v>1677</v>
      </c>
      <c r="AM4" s="428"/>
      <c r="AN4" s="428" t="str">
        <f t="shared" si="0"/>
        <v>Наименование централизованной системы холодного водоснабжения</v>
      </c>
      <c r="AO4" s="428"/>
      <c r="AP4" s="428"/>
    </row>
    <row r="5" spans="1:42" ht="23.25" hidden="1" customHeight="1">
      <c r="A5" s="1244"/>
      <c r="B5" s="1244"/>
      <c r="C5" s="1244"/>
      <c r="D5" s="1244"/>
      <c r="E5" s="2236"/>
      <c r="F5" s="2236"/>
      <c r="G5" s="2236"/>
      <c r="H5" s="2236"/>
      <c r="I5" s="2237" t="e">
        <f>S4&amp;".1"</f>
        <v>#N/A</v>
      </c>
      <c r="J5" s="1244"/>
      <c r="K5" s="1244"/>
      <c r="L5" s="1245"/>
      <c r="P5" s="2157">
        <v>1</v>
      </c>
      <c r="Q5" s="1291"/>
      <c r="R5" s="280"/>
      <c r="S5" s="1294" t="e">
        <f>$I5</f>
        <v>#N/A</v>
      </c>
      <c r="T5" s="203" t="s">
        <v>1678</v>
      </c>
      <c r="U5" s="218"/>
      <c r="V5" s="2327"/>
      <c r="W5" s="2328"/>
      <c r="X5" s="2328"/>
      <c r="Y5" s="2328"/>
      <c r="Z5" s="2328"/>
      <c r="AA5" s="2328"/>
      <c r="AB5" s="2329"/>
      <c r="AC5" s="2330"/>
      <c r="AD5" s="2331"/>
      <c r="AE5" s="2331"/>
      <c r="AF5" s="2331"/>
      <c r="AG5" s="2331"/>
      <c r="AH5" s="2331"/>
      <c r="AI5" s="2331"/>
      <c r="AJ5" s="2332"/>
      <c r="AK5" s="1140" t="s">
        <v>1679</v>
      </c>
      <c r="AM5" s="428"/>
      <c r="AN5" s="428" t="str">
        <f t="shared" si="0"/>
        <v>Наименование признака дифференциации</v>
      </c>
      <c r="AO5" s="428"/>
      <c r="AP5" s="428"/>
    </row>
    <row r="6" spans="1:42" ht="23.25" hidden="1" customHeight="1">
      <c r="A6" s="1244"/>
      <c r="B6" s="1244"/>
      <c r="C6" s="1244"/>
      <c r="D6" s="1244"/>
      <c r="E6" s="2236"/>
      <c r="F6" s="2236"/>
      <c r="G6" s="2236"/>
      <c r="H6" s="2236"/>
      <c r="I6" s="2238"/>
      <c r="J6" s="2237" t="e">
        <f>I5&amp;".1"</f>
        <v>#N/A</v>
      </c>
      <c r="K6" s="1244"/>
      <c r="L6" s="1245" t="s">
        <v>1470</v>
      </c>
      <c r="P6" s="2157"/>
      <c r="Q6" s="2157">
        <v>1</v>
      </c>
      <c r="R6" s="281"/>
      <c r="S6" s="1294" t="e">
        <f>$J6</f>
        <v>#N/A</v>
      </c>
      <c r="T6" s="204" t="s">
        <v>1471</v>
      </c>
      <c r="U6" s="218"/>
      <c r="V6" s="2224"/>
      <c r="W6" s="2225"/>
      <c r="X6" s="2225"/>
      <c r="Y6" s="2225"/>
      <c r="Z6" s="2225"/>
      <c r="AA6" s="2225"/>
      <c r="AB6" s="2226"/>
      <c r="AC6" s="2224"/>
      <c r="AD6" s="2225"/>
      <c r="AE6" s="2225"/>
      <c r="AF6" s="2225"/>
      <c r="AG6" s="2225"/>
      <c r="AH6" s="2225"/>
      <c r="AI6" s="2225"/>
      <c r="AJ6" s="2226"/>
      <c r="AK6" s="1194" t="s">
        <v>1680</v>
      </c>
      <c r="AM6" s="428"/>
      <c r="AN6" s="428" t="str">
        <f t="shared" si="0"/>
        <v>Группа потребителей</v>
      </c>
      <c r="AO6" s="428"/>
      <c r="AP6" s="428"/>
    </row>
    <row r="7" spans="1:42" ht="23.25" hidden="1" customHeight="1">
      <c r="A7" s="1244"/>
      <c r="B7" s="1244"/>
      <c r="C7" s="1244"/>
      <c r="D7" s="1244"/>
      <c r="E7" s="2236"/>
      <c r="F7" s="2236"/>
      <c r="G7" s="2236"/>
      <c r="H7" s="2236"/>
      <c r="I7" s="2238"/>
      <c r="J7" s="2238"/>
      <c r="K7" s="2237" t="e">
        <f>J6&amp;".1"</f>
        <v>#N/A</v>
      </c>
      <c r="L7" s="1245"/>
      <c r="P7" s="2157"/>
      <c r="Q7" s="2157"/>
      <c r="R7" s="281">
        <v>1</v>
      </c>
      <c r="S7" s="1294" t="e">
        <f>$K7</f>
        <v>#N/A</v>
      </c>
      <c r="T7" s="1306"/>
      <c r="U7" s="218"/>
      <c r="V7" s="1667"/>
      <c r="W7" s="1667"/>
      <c r="X7" s="1669"/>
      <c r="Y7" s="2239"/>
      <c r="Z7" s="2031" t="s">
        <v>66</v>
      </c>
      <c r="AA7" s="2239"/>
      <c r="AB7" s="2031" t="s">
        <v>66</v>
      </c>
      <c r="AC7" s="1667"/>
      <c r="AD7" s="1667"/>
      <c r="AE7" s="1669"/>
      <c r="AF7" s="2239"/>
      <c r="AG7" s="2031" t="s">
        <v>66</v>
      </c>
      <c r="AH7" s="2241"/>
      <c r="AI7" s="2031" t="s">
        <v>66</v>
      </c>
      <c r="AJ7" s="1706"/>
      <c r="AK7" s="233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9" t="e">
        <f ca="1">STRCHECKDATE(V8:AJ8)</f>
        <v>#NAME?</v>
      </c>
      <c r="AM7" s="428"/>
      <c r="AN7" s="428" t="str">
        <f t="shared" si="0"/>
        <v/>
      </c>
      <c r="AO7" s="428"/>
      <c r="AP7" s="428"/>
    </row>
    <row r="8" spans="1:42" ht="0.75" hidden="1" customHeight="1">
      <c r="A8" s="1244"/>
      <c r="B8" s="1244"/>
      <c r="C8" s="1244"/>
      <c r="D8" s="1244"/>
      <c r="E8" s="2236"/>
      <c r="F8" s="2236"/>
      <c r="G8" s="2236"/>
      <c r="H8" s="2236"/>
      <c r="I8" s="2238"/>
      <c r="J8" s="2238"/>
      <c r="K8" s="2237"/>
      <c r="L8" s="1245"/>
      <c r="P8" s="2157"/>
      <c r="Q8" s="2157"/>
      <c r="R8" s="281"/>
      <c r="S8" s="1293"/>
      <c r="T8" s="218"/>
      <c r="U8" s="218"/>
      <c r="V8" s="1668"/>
      <c r="W8" s="1668"/>
      <c r="X8" s="1670" t="str">
        <f>Y7&amp;"-"&amp;AA7</f>
        <v>-</v>
      </c>
      <c r="Y8" s="2240"/>
      <c r="Z8" s="2031"/>
      <c r="AA8" s="2240"/>
      <c r="AB8" s="2031"/>
      <c r="AC8" s="1668"/>
      <c r="AD8" s="1668"/>
      <c r="AE8" s="1670" t="str">
        <f>AF7&amp;"-"&amp;AH7</f>
        <v>-</v>
      </c>
      <c r="AF8" s="2240"/>
      <c r="AG8" s="2031"/>
      <c r="AH8" s="2242"/>
      <c r="AI8" s="2031"/>
      <c r="AJ8" s="1707"/>
      <c r="AK8" s="2333"/>
      <c r="AM8" s="428"/>
      <c r="AN8" s="428" t="str">
        <f t="shared" si="0"/>
        <v/>
      </c>
      <c r="AO8" s="428"/>
      <c r="AP8" s="428"/>
    </row>
    <row r="9" spans="1:42" ht="21" hidden="1" customHeight="1">
      <c r="A9" s="1244"/>
      <c r="B9" s="1244"/>
      <c r="C9" s="1244"/>
      <c r="D9" s="1244"/>
      <c r="E9" s="2236"/>
      <c r="F9" s="2236"/>
      <c r="G9" s="2236"/>
      <c r="H9" s="2236"/>
      <c r="I9" s="2238"/>
      <c r="J9" s="2237"/>
      <c r="K9" s="1244"/>
      <c r="L9" s="1245"/>
      <c r="P9" s="2157"/>
      <c r="Q9" s="2157"/>
      <c r="R9" s="280"/>
      <c r="S9" s="1161"/>
      <c r="T9" s="205" t="s">
        <v>1681</v>
      </c>
      <c r="U9" s="294"/>
      <c r="V9" s="294"/>
      <c r="W9" s="294"/>
      <c r="X9" s="294"/>
      <c r="Y9" s="294"/>
      <c r="Z9" s="294"/>
      <c r="AA9" s="294"/>
      <c r="AB9" s="294"/>
      <c r="AC9" s="294"/>
      <c r="AD9" s="294"/>
      <c r="AE9" s="294"/>
      <c r="AF9" s="294"/>
      <c r="AG9" s="294"/>
      <c r="AH9" s="294"/>
      <c r="AI9" s="294"/>
      <c r="AJ9" s="294"/>
      <c r="AK9" s="1140" t="s">
        <v>1682</v>
      </c>
      <c r="AM9" s="428"/>
      <c r="AN9" s="428" t="str">
        <f t="shared" si="0"/>
        <v>Добавить значение признака дифференциации</v>
      </c>
      <c r="AO9" s="428"/>
      <c r="AP9" s="428"/>
    </row>
    <row r="10" spans="1:42" ht="21" hidden="1" customHeight="1">
      <c r="A10" s="1244"/>
      <c r="B10" s="1244"/>
      <c r="C10" s="1244"/>
      <c r="D10" s="1244"/>
      <c r="E10" s="2236"/>
      <c r="F10" s="2236"/>
      <c r="G10" s="2236"/>
      <c r="H10" s="2236"/>
      <c r="I10" s="2237"/>
      <c r="J10" s="1244"/>
      <c r="K10" s="1244"/>
      <c r="L10" s="1245"/>
      <c r="P10" s="2157"/>
      <c r="Q10" s="1291"/>
      <c r="R10" s="280"/>
      <c r="S10" s="1161"/>
      <c r="T10" s="291" t="s">
        <v>1476</v>
      </c>
      <c r="U10" s="294"/>
      <c r="V10" s="294"/>
      <c r="W10" s="294"/>
      <c r="X10" s="294"/>
      <c r="Y10" s="294"/>
      <c r="Z10" s="294"/>
      <c r="AA10" s="294"/>
      <c r="AB10" s="293"/>
      <c r="AC10" s="294"/>
      <c r="AD10" s="294"/>
      <c r="AE10" s="294"/>
      <c r="AF10" s="294"/>
      <c r="AG10" s="294"/>
      <c r="AH10" s="294"/>
      <c r="AI10" s="293"/>
      <c r="AJ10" s="294"/>
      <c r="AK10" s="1307"/>
      <c r="AM10" s="428"/>
      <c r="AN10" s="428" t="str">
        <f t="shared" si="0"/>
        <v>Добавить группу потребителей</v>
      </c>
      <c r="AO10" s="428"/>
      <c r="AP10" s="428"/>
    </row>
    <row r="11" spans="1:42" ht="21" hidden="1" customHeight="1">
      <c r="A11" s="1244"/>
      <c r="B11" s="1244"/>
      <c r="C11" s="1244"/>
      <c r="D11" s="1244"/>
      <c r="E11" s="2236"/>
      <c r="F11" s="2236"/>
      <c r="G11" s="2236"/>
      <c r="H11" s="2235"/>
      <c r="I11" s="1244"/>
      <c r="J11" s="1244"/>
      <c r="K11" s="1244"/>
      <c r="L11" s="1245"/>
      <c r="M11" s="1246"/>
      <c r="N11" s="1246"/>
      <c r="O11" s="464"/>
      <c r="P11" s="284"/>
      <c r="Q11" s="303"/>
      <c r="R11" s="279"/>
      <c r="S11" s="1161"/>
      <c r="T11" s="299" t="s">
        <v>1683</v>
      </c>
      <c r="U11" s="294"/>
      <c r="V11" s="294"/>
      <c r="W11" s="294"/>
      <c r="X11" s="294"/>
      <c r="Y11" s="294"/>
      <c r="Z11" s="294"/>
      <c r="AA11" s="294"/>
      <c r="AB11" s="293"/>
      <c r="AC11" s="294"/>
      <c r="AD11" s="294"/>
      <c r="AE11" s="294"/>
      <c r="AF11" s="294"/>
      <c r="AG11" s="294"/>
      <c r="AH11" s="294"/>
      <c r="AI11" s="293"/>
      <c r="AJ11" s="294"/>
      <c r="AK11" s="221"/>
      <c r="AM11" s="428"/>
      <c r="AN11" s="428" t="str">
        <f t="shared" si="0"/>
        <v>Добавить наименование признака дифференциации</v>
      </c>
      <c r="AO11" s="428"/>
      <c r="AP11" s="428"/>
    </row>
    <row r="12" spans="1:42" s="1772" customFormat="1" ht="0.75" hidden="1" customHeight="1">
      <c r="A12" s="1228"/>
      <c r="B12" s="1228"/>
      <c r="C12" s="1200"/>
      <c r="D12" s="1200"/>
      <c r="E12" s="2236"/>
      <c r="F12" s="2235"/>
      <c r="G12" s="1200"/>
      <c r="H12" s="1200"/>
      <c r="I12" s="1200"/>
      <c r="J12" s="1200"/>
      <c r="K12" s="1200"/>
      <c r="L12" s="1295"/>
      <c r="M12" s="1207"/>
      <c r="N12" s="1207"/>
      <c r="P12" s="1202"/>
      <c r="Q12" s="1203"/>
      <c r="R12" s="1202"/>
      <c r="S12" s="1208"/>
      <c r="T12" s="1211" t="s">
        <v>1437</v>
      </c>
      <c r="U12" s="1210"/>
      <c r="V12" s="1210"/>
      <c r="W12" s="1210"/>
      <c r="X12" s="1210"/>
      <c r="Y12" s="1210"/>
      <c r="Z12" s="1210"/>
      <c r="AA12" s="1210"/>
      <c r="AB12" s="1210"/>
      <c r="AC12" s="1210"/>
      <c r="AD12" s="1210"/>
      <c r="AE12" s="1210"/>
      <c r="AF12" s="1210"/>
      <c r="AG12" s="1210"/>
      <c r="AH12" s="1210"/>
      <c r="AI12" s="1210"/>
      <c r="AJ12" s="1210"/>
      <c r="AK12" s="1210"/>
      <c r="AM12" s="696"/>
      <c r="AN12" s="696" t="str">
        <f t="shared" si="0"/>
        <v>Добавить централизованную систему для дифференциации</v>
      </c>
      <c r="AO12" s="696"/>
      <c r="AP12" s="696"/>
    </row>
    <row r="13" spans="1:42" s="1772" customFormat="1" ht="0.75" hidden="1" customHeight="1">
      <c r="A13" s="1228"/>
      <c r="B13" s="1228"/>
      <c r="C13" s="1228"/>
      <c r="D13" s="1228"/>
      <c r="E13" s="2235"/>
      <c r="F13" s="1228"/>
      <c r="G13" s="1228"/>
      <c r="H13" s="1228"/>
      <c r="I13" s="1228"/>
      <c r="J13" s="1228"/>
      <c r="K13" s="1228"/>
      <c r="L13" s="1231"/>
      <c r="M13" s="1207"/>
      <c r="N13" s="1207"/>
      <c r="O13" s="446"/>
      <c r="P13" s="311"/>
      <c r="Q13" s="1229"/>
      <c r="R13" s="311"/>
      <c r="S13" s="1208"/>
      <c r="T13" s="1211" t="s">
        <v>1438</v>
      </c>
      <c r="U13" s="1210"/>
      <c r="V13" s="1210"/>
      <c r="W13" s="1210"/>
      <c r="X13" s="1210"/>
      <c r="Y13" s="1210"/>
      <c r="Z13" s="1210"/>
      <c r="AA13" s="1210"/>
      <c r="AB13" s="1210"/>
      <c r="AC13" s="1210"/>
      <c r="AD13" s="1210"/>
      <c r="AE13" s="1210"/>
      <c r="AF13" s="1210"/>
      <c r="AG13" s="1210"/>
      <c r="AH13" s="1210"/>
      <c r="AI13" s="1210"/>
      <c r="AJ13" s="1210"/>
      <c r="AK13" s="1210"/>
      <c r="AM13" s="428"/>
      <c r="AN13" s="428" t="str">
        <f t="shared" si="0"/>
        <v>Добавить территорию для дифференциации</v>
      </c>
      <c r="AO13" s="428"/>
      <c r="AP13" s="428"/>
    </row>
    <row r="14" spans="1:42" ht="14.25" hidden="1" customHeight="1">
      <c r="AB14" s="254"/>
      <c r="AI14" s="254"/>
    </row>
    <row r="15" spans="1:42" ht="14.25" hidden="1" customHeight="1">
      <c r="AC15" s="1671"/>
      <c r="AD15" s="1671"/>
      <c r="AE15" s="1672"/>
      <c r="AF15" s="2233"/>
      <c r="AG15" s="2232" t="s">
        <v>66</v>
      </c>
      <c r="AH15" s="2233"/>
      <c r="AI15" s="2232" t="s">
        <v>66</v>
      </c>
    </row>
    <row r="16" spans="1:42" ht="14.25" hidden="1" customHeight="1">
      <c r="AC16" s="1671"/>
      <c r="AD16" s="1671"/>
      <c r="AE16" s="1670" t="str">
        <f>AF15&amp;"-"&amp;AH15</f>
        <v>-</v>
      </c>
      <c r="AF16" s="2232"/>
      <c r="AG16" s="2232"/>
      <c r="AH16" s="2232"/>
      <c r="AI16" s="2232"/>
    </row>
    <row r="17" spans="1:42" ht="14.25" hidden="1" customHeight="1">
      <c r="AI17" s="254"/>
    </row>
    <row r="18" spans="1:42" s="1759" customFormat="1" ht="22.5" hidden="1" customHeight="1">
      <c r="L18" s="1290"/>
      <c r="M18" s="1243"/>
      <c r="N18" s="1243"/>
      <c r="O18" s="1248" t="s">
        <v>1478</v>
      </c>
      <c r="P18" s="1243"/>
      <c r="Q18" s="1252"/>
      <c r="R18" s="1252"/>
      <c r="S18" s="644"/>
      <c r="Y18" s="1248"/>
      <c r="AA18" s="1248"/>
      <c r="AB18" s="1247"/>
      <c r="AF18" s="1248"/>
      <c r="AH18" s="1248"/>
      <c r="AI18" s="1247"/>
      <c r="AL18" s="439"/>
      <c r="AM18" s="439"/>
      <c r="AN18" s="439"/>
      <c r="AO18" s="439"/>
      <c r="AP18" s="439"/>
    </row>
    <row r="19" spans="1:42" s="1759" customFormat="1" ht="14.25" hidden="1" customHeight="1">
      <c r="L19" s="1290"/>
      <c r="M19" s="1243"/>
      <c r="N19" s="1243"/>
      <c r="O19" s="1243"/>
      <c r="P19" s="1243"/>
      <c r="Q19" s="1252"/>
      <c r="R19" s="1252"/>
      <c r="S19" s="644"/>
      <c r="AB19" s="1247"/>
      <c r="AI19" s="1247"/>
      <c r="AL19" s="439"/>
      <c r="AM19" s="439"/>
      <c r="AN19" s="439"/>
      <c r="AO19" s="439"/>
      <c r="AP19" s="439"/>
    </row>
    <row r="20" spans="1:42" s="1759" customFormat="1" ht="12" hidden="1" customHeight="1">
      <c r="L20" s="1290"/>
      <c r="M20" s="1243"/>
      <c r="N20" s="1243"/>
      <c r="O20" s="1245" t="s">
        <v>1479</v>
      </c>
      <c r="P20" s="1243"/>
      <c r="Q20" s="1308"/>
      <c r="R20" s="1308"/>
      <c r="S20" s="644"/>
      <c r="T20" s="1036" t="s">
        <v>1480</v>
      </c>
      <c r="Z20" s="111" t="s">
        <v>1481</v>
      </c>
      <c r="AB20" s="111" t="s">
        <v>1482</v>
      </c>
      <c r="AC20" s="1036" t="s">
        <v>1480</v>
      </c>
      <c r="AG20" s="111" t="s">
        <v>1483</v>
      </c>
      <c r="AI20" s="111" t="s">
        <v>1482</v>
      </c>
    </row>
    <row r="21" spans="1:42" ht="14.25" hidden="1" customHeight="1">
      <c r="O21" s="1245"/>
    </row>
    <row r="22" spans="1:42" ht="14.25" hidden="1" customHeight="1">
      <c r="O22" s="1245"/>
    </row>
    <row r="23" spans="1:42" ht="14.25" customHeight="1">
      <c r="Q23" s="304"/>
      <c r="R23" s="304"/>
      <c r="S23" s="1158"/>
      <c r="T23" s="289"/>
      <c r="U23" s="289"/>
      <c r="V23" s="437"/>
      <c r="W23" s="437"/>
      <c r="X23" s="437"/>
      <c r="Y23" s="437"/>
      <c r="Z23" s="437"/>
      <c r="AA23" s="437"/>
      <c r="AB23" s="437"/>
      <c r="AC23" s="437"/>
      <c r="AD23" s="437"/>
      <c r="AE23" s="437"/>
      <c r="AF23" s="437"/>
      <c r="AG23" s="437"/>
      <c r="AH23" s="437"/>
      <c r="AI23" s="437"/>
    </row>
    <row r="24" spans="1:42" ht="32.25" customHeight="1">
      <c r="Q24" s="304"/>
      <c r="R24" s="304"/>
      <c r="S24" s="2079"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079"/>
      <c r="U24" s="2079"/>
      <c r="V24" s="2079"/>
      <c r="W24" s="2079"/>
      <c r="X24" s="2079"/>
      <c r="Y24" s="2079"/>
      <c r="Z24" s="2079"/>
      <c r="AA24" s="2079"/>
      <c r="AB24" s="2079"/>
      <c r="AC24" s="2079"/>
      <c r="AD24" s="2079"/>
      <c r="AE24" s="2079"/>
      <c r="AF24" s="2079"/>
      <c r="AG24" s="2079"/>
      <c r="AH24" s="2079"/>
      <c r="AI24" s="1116"/>
    </row>
    <row r="25" spans="1:42" ht="14.25" customHeight="1">
      <c r="Q25" s="304"/>
      <c r="R25" s="304"/>
      <c r="S25" s="2102" t="str">
        <f>IF(org=0,"Не определено",org)</f>
        <v>ООО "Автозаводская ТЭЦ"</v>
      </c>
      <c r="T25" s="2102"/>
      <c r="U25" s="2102"/>
      <c r="V25" s="2102"/>
      <c r="W25" s="2102"/>
      <c r="X25" s="2102"/>
      <c r="Y25" s="2102"/>
      <c r="Z25" s="2102"/>
      <c r="AA25" s="2102"/>
      <c r="AB25" s="2102"/>
      <c r="AC25" s="2102"/>
      <c r="AD25" s="2102"/>
      <c r="AE25" s="2102"/>
      <c r="AF25" s="2102"/>
      <c r="AG25" s="2102"/>
      <c r="AH25" s="2102"/>
      <c r="AI25" s="1116"/>
    </row>
    <row r="26" spans="1:42" ht="14.25" hidden="1" customHeight="1">
      <c r="Q26" s="304"/>
      <c r="R26" s="304"/>
      <c r="S26" s="1158"/>
      <c r="T26" s="289"/>
      <c r="U26" s="289"/>
      <c r="V26" s="248"/>
      <c r="W26" s="248"/>
      <c r="X26" s="248"/>
      <c r="Y26" s="248"/>
      <c r="Z26" s="248"/>
      <c r="AA26" s="248"/>
      <c r="AB26" s="248"/>
      <c r="AC26" s="248"/>
      <c r="AD26" s="248"/>
      <c r="AE26" s="248"/>
      <c r="AF26" s="248"/>
      <c r="AG26" s="248"/>
      <c r="AH26" s="248"/>
      <c r="AI26" s="248"/>
      <c r="AJ26" s="437"/>
    </row>
    <row r="27" spans="1:42" s="1950" customFormat="1" ht="25.5" hidden="1" customHeight="1">
      <c r="A27" s="1249"/>
      <c r="B27" s="1249"/>
      <c r="C27" s="1249"/>
      <c r="D27" s="1249"/>
      <c r="E27" s="1249"/>
      <c r="F27" s="1249"/>
      <c r="G27" s="1249"/>
      <c r="H27" s="1249"/>
      <c r="I27" s="1249"/>
      <c r="J27" s="1249"/>
      <c r="K27" s="1249"/>
      <c r="L27" s="1250"/>
      <c r="M27" s="1249"/>
      <c r="N27" s="1249"/>
      <c r="O27" s="1249"/>
      <c r="S27" s="2227" t="s">
        <v>38</v>
      </c>
      <c r="T27" s="2227"/>
      <c r="U27" s="1253"/>
      <c r="V27" s="2228" t="str">
        <f>IF(TITLE_NAME_OR_PR_CHANGE="",IF(TITLE_NAME_OR_PR="","",TITLE_NAME_OR_PR),TITLE_NAME_OR_PR_CHANGE)</f>
        <v/>
      </c>
      <c r="W27" s="2228"/>
      <c r="X27" s="2228"/>
      <c r="Y27" s="2228"/>
      <c r="Z27" s="2228"/>
      <c r="AA27" s="2228"/>
      <c r="AB27" s="253"/>
      <c r="AC27" s="2228" t="str">
        <f>IF(TITLE_NAME_OR_PR_CHANGE="",IF(TITLE_NAME_OR_PR="","",TITLE_NAME_OR_PR),TITLE_NAME_OR_PR_CHANGE)</f>
        <v/>
      </c>
      <c r="AD27" s="2228"/>
      <c r="AE27" s="2228"/>
      <c r="AF27" s="2228"/>
      <c r="AG27" s="2228"/>
      <c r="AH27" s="2228"/>
      <c r="AI27" s="253"/>
      <c r="AJ27" s="253"/>
      <c r="AK27" s="199"/>
      <c r="AL27" s="295"/>
      <c r="AM27" s="295"/>
      <c r="AN27" s="295"/>
      <c r="AO27" s="295"/>
      <c r="AP27" s="295"/>
    </row>
    <row r="28" spans="1:42" s="1950" customFormat="1" ht="18.75" hidden="1" customHeight="1">
      <c r="A28" s="1249"/>
      <c r="B28" s="1249"/>
      <c r="C28" s="1249"/>
      <c r="D28" s="1249"/>
      <c r="E28" s="1249"/>
      <c r="F28" s="1249"/>
      <c r="G28" s="1249"/>
      <c r="H28" s="1249"/>
      <c r="I28" s="1249"/>
      <c r="J28" s="1249"/>
      <c r="K28" s="1249"/>
      <c r="L28" s="1250"/>
      <c r="M28" s="1249"/>
      <c r="N28" s="1249"/>
      <c r="O28" s="1249"/>
      <c r="S28" s="2227" t="s">
        <v>1484</v>
      </c>
      <c r="T28" s="2227"/>
      <c r="U28" s="1253"/>
      <c r="V28" s="2228" t="str">
        <f>IF(TITLE_DATE_CHANGE_PERIOD="",IF(TITLE_DATE_PR="","",TITLE_DATE_PR),TITLE_DATE_CHANGE_PERIOD)</f>
        <v/>
      </c>
      <c r="W28" s="2228"/>
      <c r="X28" s="2228"/>
      <c r="Y28" s="2228"/>
      <c r="Z28" s="2228"/>
      <c r="AA28" s="2228"/>
      <c r="AB28" s="253"/>
      <c r="AC28" s="2228" t="str">
        <f>IF(TITLE_DATE_CHANGE_PERIOD="",IF(TITLE_DATE_PR="","",TITLE_DATE_PR),TITLE_DATE_CHANGE_PERIOD)</f>
        <v/>
      </c>
      <c r="AD28" s="2228"/>
      <c r="AE28" s="2228"/>
      <c r="AF28" s="2228"/>
      <c r="AG28" s="2228"/>
      <c r="AH28" s="2228"/>
      <c r="AI28" s="253"/>
      <c r="AJ28" s="253"/>
      <c r="AK28" s="199"/>
      <c r="AL28" s="295"/>
      <c r="AM28" s="295"/>
      <c r="AN28" s="295"/>
      <c r="AO28" s="295"/>
      <c r="AP28" s="295"/>
    </row>
    <row r="29" spans="1:42" s="1950" customFormat="1" ht="18.75" hidden="1" customHeight="1">
      <c r="A29" s="1249"/>
      <c r="B29" s="1249"/>
      <c r="C29" s="1249"/>
      <c r="D29" s="1249"/>
      <c r="E29" s="1249"/>
      <c r="F29" s="1249"/>
      <c r="G29" s="1249"/>
      <c r="H29" s="1249"/>
      <c r="I29" s="1249"/>
      <c r="J29" s="1249"/>
      <c r="K29" s="1249"/>
      <c r="L29" s="1250"/>
      <c r="M29" s="1249"/>
      <c r="N29" s="1249"/>
      <c r="O29" s="1249"/>
      <c r="S29" s="2227" t="s">
        <v>1485</v>
      </c>
      <c r="T29" s="2227"/>
      <c r="U29" s="1253"/>
      <c r="V29" s="2228" t="str">
        <f>IF(TITLE_NUMBER_PR_CHANGE="",IF(TITLE_NUMBER_PR="","",TITLE_NUMBER_PR),TITLE_NUMBER_PR_CHANGE)</f>
        <v/>
      </c>
      <c r="W29" s="2228"/>
      <c r="X29" s="2228"/>
      <c r="Y29" s="2228"/>
      <c r="Z29" s="2228"/>
      <c r="AA29" s="2228"/>
      <c r="AB29" s="253"/>
      <c r="AC29" s="2228" t="str">
        <f>IF(TITLE_NUMBER_PR_CHANGE="",IF(TITLE_NUMBER_PR="","",TITLE_NUMBER_PR),TITLE_NUMBER_PR_CHANGE)</f>
        <v/>
      </c>
      <c r="AD29" s="2228"/>
      <c r="AE29" s="2228"/>
      <c r="AF29" s="2228"/>
      <c r="AG29" s="2228"/>
      <c r="AH29" s="2228"/>
      <c r="AI29" s="253"/>
      <c r="AJ29" s="253"/>
      <c r="AK29" s="199"/>
      <c r="AL29" s="295"/>
      <c r="AM29" s="295"/>
      <c r="AN29" s="295"/>
      <c r="AO29" s="295"/>
      <c r="AP29" s="295"/>
    </row>
    <row r="30" spans="1:42" s="1950" customFormat="1" ht="18.75" hidden="1" customHeight="1">
      <c r="A30" s="1249"/>
      <c r="B30" s="1249"/>
      <c r="C30" s="1249"/>
      <c r="D30" s="1249"/>
      <c r="E30" s="1249"/>
      <c r="F30" s="1249"/>
      <c r="G30" s="1249"/>
      <c r="H30" s="1249"/>
      <c r="I30" s="1249"/>
      <c r="J30" s="1249"/>
      <c r="K30" s="1249"/>
      <c r="L30" s="1250"/>
      <c r="M30" s="1249"/>
      <c r="N30" s="1249"/>
      <c r="O30" s="1249"/>
      <c r="S30" s="2227" t="s">
        <v>39</v>
      </c>
      <c r="T30" s="2227"/>
      <c r="U30" s="1253"/>
      <c r="V30" s="2228" t="str">
        <f>IF(TITLE_IST_PUB_CHANGE="",IF(TITLE_IST_PUB="","",TITLE_IST_PUB),TITLE_IST_PUB_CHANGE)</f>
        <v/>
      </c>
      <c r="W30" s="2228"/>
      <c r="X30" s="2228"/>
      <c r="Y30" s="2228"/>
      <c r="Z30" s="2228"/>
      <c r="AA30" s="2228"/>
      <c r="AB30" s="253"/>
      <c r="AC30" s="2228" t="str">
        <f>IF(TITLE_IST_PUB_CHANGE="",IF(TITLE_IST_PUB="","",TITLE_IST_PUB),TITLE_IST_PUB_CHANGE)</f>
        <v/>
      </c>
      <c r="AD30" s="2228"/>
      <c r="AE30" s="2228"/>
      <c r="AF30" s="2228"/>
      <c r="AG30" s="2228"/>
      <c r="AH30" s="2228"/>
      <c r="AI30" s="253"/>
      <c r="AJ30" s="253"/>
      <c r="AK30" s="199"/>
      <c r="AL30" s="295"/>
      <c r="AM30" s="295"/>
      <c r="AN30" s="295"/>
      <c r="AO30" s="295"/>
      <c r="AP30" s="295"/>
    </row>
    <row r="31" spans="1:42" ht="14.25" hidden="1" customHeight="1">
      <c r="Q31" s="304"/>
      <c r="R31" s="304"/>
      <c r="S31" s="1158"/>
      <c r="T31" s="289"/>
      <c r="U31" s="289"/>
      <c r="V31" s="248"/>
      <c r="W31" s="248"/>
      <c r="X31" s="248"/>
      <c r="Y31" s="248"/>
      <c r="Z31" s="248"/>
      <c r="AA31" s="248"/>
      <c r="AB31" s="248"/>
      <c r="AC31" s="248"/>
      <c r="AD31" s="248"/>
      <c r="AE31" s="248"/>
      <c r="AF31" s="248"/>
      <c r="AG31" s="248"/>
      <c r="AH31" s="248"/>
      <c r="AI31" s="248"/>
      <c r="AJ31" s="437"/>
    </row>
    <row r="32" spans="1:42" s="1950" customFormat="1" ht="18.75" hidden="1" customHeight="1">
      <c r="A32" s="1249"/>
      <c r="B32" s="1249"/>
      <c r="C32" s="1249"/>
      <c r="D32" s="1249"/>
      <c r="E32" s="1249"/>
      <c r="F32" s="1249"/>
      <c r="G32" s="1249"/>
      <c r="H32" s="1249"/>
      <c r="I32" s="1249"/>
      <c r="J32" s="1249"/>
      <c r="K32" s="1249"/>
      <c r="L32" s="1250"/>
      <c r="M32" s="1249"/>
      <c r="N32" s="1249"/>
      <c r="O32" s="1249"/>
      <c r="S32" s="2227" t="s">
        <v>1486</v>
      </c>
      <c r="T32" s="2227"/>
      <c r="U32" s="1253"/>
      <c r="V32" s="2228" t="str">
        <f>IF(TITLE_DATE_CHANGE_PERIOD="",IF(TITLE_DATE_PR="","",TITLE_DATE_PR),TITLE_DATE_CHANGE_PERIOD)</f>
        <v/>
      </c>
      <c r="W32" s="2228"/>
      <c r="X32" s="2228"/>
      <c r="Y32" s="2228"/>
      <c r="Z32" s="2228"/>
      <c r="AA32" s="2228"/>
      <c r="AB32" s="253"/>
      <c r="AC32" s="2228" t="str">
        <f>IF(TITLE_DATE_CHANGE_PERIOD="",IF(TITLE_DATE_PR="","",TITLE_DATE_PR),TITLE_DATE_CHANGE_PERIOD)</f>
        <v/>
      </c>
      <c r="AD32" s="2228"/>
      <c r="AE32" s="2228"/>
      <c r="AF32" s="2228"/>
      <c r="AG32" s="2228"/>
      <c r="AH32" s="2228"/>
      <c r="AI32" s="253"/>
      <c r="AJ32" s="253"/>
      <c r="AK32" s="199"/>
      <c r="AL32" s="295"/>
      <c r="AM32" s="295"/>
      <c r="AN32" s="295"/>
      <c r="AO32" s="295"/>
      <c r="AP32" s="295"/>
    </row>
    <row r="33" spans="1:42" s="1950" customFormat="1" ht="18.75" hidden="1" customHeight="1">
      <c r="A33" s="1249"/>
      <c r="B33" s="1249"/>
      <c r="C33" s="1249"/>
      <c r="D33" s="1249"/>
      <c r="E33" s="1249"/>
      <c r="F33" s="1249"/>
      <c r="G33" s="1249"/>
      <c r="H33" s="1249"/>
      <c r="I33" s="1249"/>
      <c r="J33" s="1249"/>
      <c r="K33" s="1249"/>
      <c r="L33" s="1250"/>
      <c r="M33" s="1249"/>
      <c r="N33" s="1249"/>
      <c r="O33" s="1249"/>
      <c r="S33" s="2227" t="s">
        <v>1487</v>
      </c>
      <c r="T33" s="2227"/>
      <c r="U33" s="1253"/>
      <c r="V33" s="2228" t="str">
        <f>IF(TITLE_NUMBER_PR_CHANGE="",IF(TITLE_NUMBER_PR="","",TITLE_NUMBER_PR),TITLE_NUMBER_PR_CHANGE)</f>
        <v/>
      </c>
      <c r="W33" s="2228"/>
      <c r="X33" s="2228"/>
      <c r="Y33" s="2228"/>
      <c r="Z33" s="2228"/>
      <c r="AA33" s="2228"/>
      <c r="AB33" s="253"/>
      <c r="AC33" s="2228" t="str">
        <f>IF(TITLE_NUMBER_PR_CHANGE="",IF(TITLE_NUMBER_PR="","",TITLE_NUMBER_PR),TITLE_NUMBER_PR_CHANGE)</f>
        <v/>
      </c>
      <c r="AD33" s="2228"/>
      <c r="AE33" s="2228"/>
      <c r="AF33" s="2228"/>
      <c r="AG33" s="2228"/>
      <c r="AH33" s="2228"/>
      <c r="AI33" s="253"/>
      <c r="AJ33" s="253"/>
      <c r="AK33" s="199"/>
      <c r="AL33" s="295"/>
      <c r="AM33" s="295"/>
      <c r="AN33" s="295"/>
      <c r="AO33" s="295"/>
      <c r="AP33" s="295"/>
    </row>
    <row r="34" spans="1:42" s="1950" customFormat="1" ht="0.75" customHeight="1">
      <c r="A34" s="1249"/>
      <c r="B34" s="1249"/>
      <c r="C34" s="1249"/>
      <c r="D34" s="1249"/>
      <c r="E34" s="1249"/>
      <c r="F34" s="1249"/>
      <c r="G34" s="1249"/>
      <c r="H34" s="1249"/>
      <c r="I34" s="1249"/>
      <c r="J34" s="1249"/>
      <c r="K34" s="1249"/>
      <c r="L34" s="1250"/>
      <c r="M34" s="1249"/>
      <c r="N34" s="1249"/>
      <c r="O34" s="1249"/>
      <c r="S34" s="250"/>
      <c r="T34" s="250"/>
      <c r="U34" s="1238"/>
      <c r="V34" s="253"/>
      <c r="W34" s="253"/>
      <c r="X34" s="253"/>
      <c r="Y34" s="253"/>
      <c r="Z34" s="253"/>
      <c r="AA34" s="253"/>
      <c r="AB34" s="197" t="s">
        <v>1488</v>
      </c>
      <c r="AC34" s="253"/>
      <c r="AD34" s="253"/>
      <c r="AE34" s="253"/>
      <c r="AF34" s="253"/>
      <c r="AG34" s="253"/>
      <c r="AH34" s="253"/>
      <c r="AI34" s="197" t="s">
        <v>1488</v>
      </c>
      <c r="AL34" s="295"/>
      <c r="AM34" s="295"/>
      <c r="AN34" s="295"/>
      <c r="AO34" s="295"/>
      <c r="AP34" s="295"/>
    </row>
    <row r="35" spans="1:42" ht="14.25" customHeight="1">
      <c r="Q35" s="304"/>
      <c r="R35" s="304"/>
      <c r="S35" s="1158"/>
      <c r="T35" s="289"/>
      <c r="U35" s="1117"/>
      <c r="V35" s="2246"/>
      <c r="W35" s="2246"/>
      <c r="X35" s="2246"/>
      <c r="Y35" s="2246"/>
      <c r="Z35" s="2246"/>
      <c r="AA35" s="2246"/>
      <c r="AB35" s="2246"/>
      <c r="AC35" s="2246"/>
      <c r="AD35" s="2246"/>
      <c r="AE35" s="2246"/>
      <c r="AF35" s="2246"/>
      <c r="AG35" s="2246"/>
      <c r="AH35" s="2246"/>
      <c r="AI35" s="2246"/>
    </row>
    <row r="36" spans="1:42" ht="14.25" customHeight="1">
      <c r="Q36" s="304"/>
      <c r="R36" s="304"/>
      <c r="S36" s="2021" t="s">
        <v>292</v>
      </c>
      <c r="T36" s="2021"/>
      <c r="U36" s="2021"/>
      <c r="V36" s="2021"/>
      <c r="W36" s="2021"/>
      <c r="X36" s="2021"/>
      <c r="Y36" s="2021"/>
      <c r="Z36" s="2021"/>
      <c r="AA36" s="2021"/>
      <c r="AB36" s="2021"/>
      <c r="AC36" s="2021"/>
      <c r="AD36" s="2021"/>
      <c r="AE36" s="2021"/>
      <c r="AF36" s="2021"/>
      <c r="AG36" s="2021"/>
      <c r="AH36" s="2021"/>
      <c r="AI36" s="2021"/>
      <c r="AJ36" s="2021"/>
      <c r="AK36" s="2021" t="s">
        <v>293</v>
      </c>
    </row>
    <row r="37" spans="1:42" ht="14.25" customHeight="1">
      <c r="Q37" s="304"/>
      <c r="R37" s="304"/>
      <c r="S37" s="2247" t="s">
        <v>88</v>
      </c>
      <c r="T37" s="2111" t="s">
        <v>1489</v>
      </c>
      <c r="U37" s="219"/>
      <c r="V37" s="2248" t="s">
        <v>1490</v>
      </c>
      <c r="W37" s="2249"/>
      <c r="X37" s="2249"/>
      <c r="Y37" s="2249"/>
      <c r="Z37" s="2249"/>
      <c r="AA37" s="2250"/>
      <c r="AB37" s="2251" t="s">
        <v>1491</v>
      </c>
      <c r="AC37" s="2248" t="s">
        <v>1490</v>
      </c>
      <c r="AD37" s="2249"/>
      <c r="AE37" s="2249"/>
      <c r="AF37" s="2249"/>
      <c r="AG37" s="2249"/>
      <c r="AH37" s="2250"/>
      <c r="AI37" s="2251" t="s">
        <v>1492</v>
      </c>
      <c r="AJ37" s="2254" t="s">
        <v>1493</v>
      </c>
      <c r="AK37" s="2021"/>
    </row>
    <row r="38" spans="1:42" ht="33.75" customHeight="1">
      <c r="Q38" s="304"/>
      <c r="R38" s="304"/>
      <c r="S38" s="2247"/>
      <c r="T38" s="2111"/>
      <c r="U38" s="924"/>
      <c r="V38" s="1235" t="s">
        <v>1684</v>
      </c>
      <c r="W38" s="2003" t="s">
        <v>1496</v>
      </c>
      <c r="X38" s="2002"/>
      <c r="Y38" s="2003" t="s">
        <v>1497</v>
      </c>
      <c r="Z38" s="2008"/>
      <c r="AA38" s="2002"/>
      <c r="AB38" s="2252"/>
      <c r="AC38" s="1235" t="s">
        <v>1684</v>
      </c>
      <c r="AD38" s="2003" t="s">
        <v>1496</v>
      </c>
      <c r="AE38" s="2002"/>
      <c r="AF38" s="2003" t="s">
        <v>1497</v>
      </c>
      <c r="AG38" s="2008"/>
      <c r="AH38" s="2002"/>
      <c r="AI38" s="2252"/>
      <c r="AJ38" s="2255"/>
      <c r="AK38" s="2021"/>
    </row>
    <row r="39" spans="1:42" ht="33.75" customHeight="1">
      <c r="A39" s="1251"/>
      <c r="B39" s="1251" t="s">
        <v>136</v>
      </c>
      <c r="C39" s="1251" t="s">
        <v>137</v>
      </c>
      <c r="D39" s="1251" t="s">
        <v>138</v>
      </c>
      <c r="E39" s="1245" t="s">
        <v>1498</v>
      </c>
      <c r="F39" s="1245" t="s">
        <v>1499</v>
      </c>
      <c r="G39" s="1245" t="s">
        <v>1500</v>
      </c>
      <c r="H39" s="1245"/>
      <c r="I39" s="1245" t="s">
        <v>1685</v>
      </c>
      <c r="J39" s="1245" t="s">
        <v>1503</v>
      </c>
      <c r="K39" s="1245" t="s">
        <v>1686</v>
      </c>
      <c r="L39" s="1245" t="s">
        <v>1479</v>
      </c>
      <c r="Q39" s="304"/>
      <c r="R39" s="304"/>
      <c r="S39" s="2247"/>
      <c r="T39" s="2111"/>
      <c r="U39" s="220"/>
      <c r="V39" s="1235" t="s">
        <v>1687</v>
      </c>
      <c r="W39" s="1092" t="s">
        <v>1688</v>
      </c>
      <c r="X39" s="1092" t="s">
        <v>1689</v>
      </c>
      <c r="Y39" s="1240" t="s">
        <v>1507</v>
      </c>
      <c r="Z39" s="2117" t="s">
        <v>1508</v>
      </c>
      <c r="AA39" s="2131"/>
      <c r="AB39" s="2253"/>
      <c r="AC39" s="1235" t="s">
        <v>1687</v>
      </c>
      <c r="AD39" s="1092" t="s">
        <v>1688</v>
      </c>
      <c r="AE39" s="1092" t="s">
        <v>1689</v>
      </c>
      <c r="AF39" s="1240" t="s">
        <v>1507</v>
      </c>
      <c r="AG39" s="2117" t="s">
        <v>1508</v>
      </c>
      <c r="AH39" s="2131"/>
      <c r="AI39" s="2253"/>
      <c r="AJ39" s="2256"/>
      <c r="AK39" s="2021"/>
    </row>
    <row r="40" spans="1:42" s="1720" customFormat="1" ht="11.25" hidden="1" customHeight="1">
      <c r="A40" s="1251"/>
      <c r="B40" s="1251"/>
      <c r="C40" s="1251"/>
      <c r="D40" s="1251"/>
      <c r="E40" s="1251"/>
      <c r="F40" s="1251"/>
      <c r="G40" s="1251"/>
      <c r="H40" s="1251"/>
      <c r="I40" s="1251"/>
      <c r="J40" s="1251"/>
      <c r="K40" s="1251"/>
      <c r="L40" s="1245"/>
      <c r="M40" s="1243"/>
      <c r="N40" s="1243"/>
      <c r="O40" s="1243"/>
      <c r="P40" s="1119"/>
      <c r="Q40" s="1120"/>
      <c r="R40" s="1135">
        <v>1</v>
      </c>
      <c r="S40" s="1160" t="s">
        <v>109</v>
      </c>
      <c r="T40" s="1136" t="s">
        <v>110</v>
      </c>
      <c r="U40" s="1118" t="str">
        <f ca="1">OFFSET(U40,0,-1)</f>
        <v>2</v>
      </c>
      <c r="V40" s="1236">
        <f ca="1">OFFSET(V40,0,-1)+1</f>
        <v>3</v>
      </c>
      <c r="W40" s="1236">
        <f ca="1">OFFSET(W40,0,-1)+1</f>
        <v>4</v>
      </c>
      <c r="X40" s="1236">
        <f ca="1">OFFSET(X40,0,-1)+1</f>
        <v>5</v>
      </c>
      <c r="Y40" s="1236">
        <f ca="1">OFFSET(Y40,0,-1)+1</f>
        <v>6</v>
      </c>
      <c r="Z40" s="2245">
        <f ca="1">OFFSET(Z40,0,-1)+1</f>
        <v>7</v>
      </c>
      <c r="AA40" s="2245"/>
      <c r="AB40" s="1236">
        <f ca="1">OFFSET(AB40,0,-2)+1</f>
        <v>8</v>
      </c>
      <c r="AC40" s="1236">
        <f ca="1">OFFSET(AC40,0,-1)+1</f>
        <v>9</v>
      </c>
      <c r="AD40" s="1236">
        <f ca="1">OFFSET(AD40,0,-1)+1</f>
        <v>10</v>
      </c>
      <c r="AE40" s="1236">
        <f ca="1">OFFSET(AE40,0,-1)+1</f>
        <v>11</v>
      </c>
      <c r="AF40" s="1236">
        <f ca="1">OFFSET(AF40,0,-1)+1</f>
        <v>12</v>
      </c>
      <c r="AG40" s="2245">
        <f ca="1">OFFSET(AG40,0,-1)+1</f>
        <v>13</v>
      </c>
      <c r="AH40" s="2245"/>
      <c r="AI40" s="1236">
        <f ca="1">OFFSET(AI40,0,-2)+1</f>
        <v>14</v>
      </c>
      <c r="AJ40" s="1118">
        <f ca="1">OFFSET(AJ40,0,-1)</f>
        <v>14</v>
      </c>
      <c r="AK40" s="1236">
        <f ca="1">OFFSET(AK40,0,-1)+1</f>
        <v>15</v>
      </c>
      <c r="AL40" s="439"/>
      <c r="AM40" s="439"/>
      <c r="AN40" s="439"/>
      <c r="AO40" s="439"/>
      <c r="AP40" s="439"/>
    </row>
    <row r="41" spans="1:42" ht="23.25" customHeight="1">
      <c r="A41" s="1244" t="s">
        <v>218</v>
      </c>
      <c r="B41" s="1244"/>
      <c r="C41" s="1244"/>
      <c r="D41" s="1244"/>
      <c r="E41" s="2235">
        <v>1</v>
      </c>
      <c r="F41" s="1244"/>
      <c r="G41" s="1244"/>
      <c r="H41" s="1244"/>
      <c r="I41" s="1244"/>
      <c r="J41" s="1244"/>
      <c r="K41" s="1244"/>
      <c r="L41" s="1245"/>
      <c r="M41" s="1246"/>
      <c r="N41" s="1246"/>
      <c r="O41" s="1246"/>
      <c r="P41" s="285"/>
      <c r="Q41" s="284"/>
      <c r="R41" s="279"/>
      <c r="S41" s="1241">
        <f>INDEX(PT_DIFFERENTIATION_NUM_NTAR,MATCH(A41,PT_DIFFERENTIATION_NTAR_ID,0))</f>
        <v>0</v>
      </c>
      <c r="T41" s="216" t="s">
        <v>124</v>
      </c>
      <c r="U41" s="218"/>
      <c r="V41" s="2229"/>
      <c r="W41" s="2230"/>
      <c r="X41" s="2230"/>
      <c r="Y41" s="2230"/>
      <c r="Z41" s="2230"/>
      <c r="AA41" s="2230"/>
      <c r="AB41" s="2231"/>
      <c r="AC41" s="2229" t="str">
        <f>INDEX(PT_DIFFERENTIATION_NTAR,MATCH(A41,PT_DIFFERENTIATION_NTAR_ID,0))</f>
        <v/>
      </c>
      <c r="AD41" s="2230"/>
      <c r="AE41" s="2230"/>
      <c r="AF41" s="2230"/>
      <c r="AG41" s="2230"/>
      <c r="AH41" s="2230"/>
      <c r="AI41" s="2230"/>
      <c r="AJ41" s="2231"/>
      <c r="AK41" s="114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8"/>
      <c r="AN41" s="428" t="str">
        <f t="shared" ref="AN41:AN53" si="1">IF(T41="","",T41)</f>
        <v>Наименование тарифа</v>
      </c>
      <c r="AO41" s="428"/>
      <c r="AP41" s="428"/>
    </row>
    <row r="42" spans="1:42" ht="23.25" customHeight="1">
      <c r="A42" s="1244" t="s">
        <v>218</v>
      </c>
      <c r="B42" s="1244" t="s">
        <v>219</v>
      </c>
      <c r="C42" s="1244"/>
      <c r="D42" s="1244"/>
      <c r="E42" s="2236"/>
      <c r="F42" s="2235">
        <v>1</v>
      </c>
      <c r="G42" s="1244"/>
      <c r="H42" s="1244"/>
      <c r="I42" s="1244"/>
      <c r="J42" s="1244"/>
      <c r="K42" s="1244"/>
      <c r="L42" s="1245"/>
      <c r="M42" s="1246"/>
      <c r="N42" s="1246"/>
      <c r="O42" s="1246"/>
      <c r="P42" s="1239"/>
      <c r="Q42" s="276"/>
      <c r="R42" s="277"/>
      <c r="S42" s="1241" t="str">
        <f>INDEX(PT_DIFFERENTIATION_NUM_TER,MATCH(B42,PT_DIFFERENTIATION_TER_ID,0))</f>
        <v>.</v>
      </c>
      <c r="T42" s="228" t="s">
        <v>1461</v>
      </c>
      <c r="U42" s="218"/>
      <c r="V42" s="2229"/>
      <c r="W42" s="2230"/>
      <c r="X42" s="2230"/>
      <c r="Y42" s="2230"/>
      <c r="Z42" s="2230"/>
      <c r="AA42" s="2230"/>
      <c r="AB42" s="2231"/>
      <c r="AC42" s="2229" t="str">
        <f>INDEX(PT_DIFFERENTIATION_TER,MATCH(B42,PT_DIFFERENTIATION_TER_ID,0))</f>
        <v/>
      </c>
      <c r="AD42" s="2230"/>
      <c r="AE42" s="2230"/>
      <c r="AF42" s="2230"/>
      <c r="AG42" s="2230"/>
      <c r="AH42" s="2230"/>
      <c r="AI42" s="2230"/>
      <c r="AJ42" s="2231"/>
      <c r="AK42" s="1140" t="s">
        <v>1462</v>
      </c>
      <c r="AM42" s="428"/>
      <c r="AN42" s="428" t="str">
        <f t="shared" si="1"/>
        <v>Территория действия тарифа</v>
      </c>
      <c r="AO42" s="428"/>
      <c r="AP42" s="428"/>
    </row>
    <row r="43" spans="1:42" ht="23.25" customHeight="1">
      <c r="A43" s="1244" t="s">
        <v>218</v>
      </c>
      <c r="B43" s="1244" t="s">
        <v>219</v>
      </c>
      <c r="C43" s="1244" t="s">
        <v>220</v>
      </c>
      <c r="D43" s="1244"/>
      <c r="E43" s="2236"/>
      <c r="F43" s="2236"/>
      <c r="G43" s="2235">
        <v>1</v>
      </c>
      <c r="H43" s="1244"/>
      <c r="I43" s="1244"/>
      <c r="J43" s="1244"/>
      <c r="K43" s="1244"/>
      <c r="L43" s="1245"/>
      <c r="M43" s="1246"/>
      <c r="N43" s="1246"/>
      <c r="O43" s="1246"/>
      <c r="P43" s="278"/>
      <c r="Q43" s="276"/>
      <c r="R43" s="277"/>
      <c r="S43" s="1241" t="str">
        <f>INDEX(PT_DIFFERENTIATION_NUM_CS,MATCH(C43,PT_DIFFERENTIATION_CS_ID,0))</f>
        <v>..</v>
      </c>
      <c r="T43" s="229" t="s">
        <v>1676</v>
      </c>
      <c r="U43" s="218"/>
      <c r="V43" s="2229"/>
      <c r="W43" s="2230"/>
      <c r="X43" s="2230"/>
      <c r="Y43" s="2230"/>
      <c r="Z43" s="2230"/>
      <c r="AA43" s="2230"/>
      <c r="AB43" s="2231"/>
      <c r="AC43" s="2229" t="str">
        <f>INDEX(PT_DIFFERENTIATION_CS,MATCH(C43,PT_DIFFERENTIATION_CS_ID,0))</f>
        <v/>
      </c>
      <c r="AD43" s="2230"/>
      <c r="AE43" s="2230"/>
      <c r="AF43" s="2230"/>
      <c r="AG43" s="2230"/>
      <c r="AH43" s="2230"/>
      <c r="AI43" s="2230"/>
      <c r="AJ43" s="2231"/>
      <c r="AK43" s="1140" t="s">
        <v>1677</v>
      </c>
      <c r="AM43" s="428"/>
      <c r="AN43" s="428" t="str">
        <f t="shared" si="1"/>
        <v>Наименование централизованной системы холодного водоснабжения</v>
      </c>
      <c r="AO43" s="428"/>
      <c r="AP43" s="428"/>
    </row>
    <row r="44" spans="1:42" ht="23.25" customHeight="1">
      <c r="A44" s="1244" t="s">
        <v>218</v>
      </c>
      <c r="B44" s="1244" t="s">
        <v>219</v>
      </c>
      <c r="C44" s="1244" t="s">
        <v>220</v>
      </c>
      <c r="D44" s="1244" t="s">
        <v>1690</v>
      </c>
      <c r="E44" s="2236"/>
      <c r="F44" s="2236"/>
      <c r="G44" s="2236"/>
      <c r="H44" s="2236"/>
      <c r="I44" s="2237" t="str">
        <f>S43&amp;".1"</f>
        <v>...1</v>
      </c>
      <c r="J44" s="1244"/>
      <c r="K44" s="1244"/>
      <c r="L44" s="1245"/>
      <c r="P44" s="2157">
        <v>1</v>
      </c>
      <c r="Q44" s="1237"/>
      <c r="R44" s="280"/>
      <c r="S44" s="1241" t="str">
        <f>$I44</f>
        <v>...1</v>
      </c>
      <c r="T44" s="203" t="s">
        <v>1678</v>
      </c>
      <c r="U44" s="218"/>
      <c r="V44" s="2327"/>
      <c r="W44" s="2328"/>
      <c r="X44" s="2328"/>
      <c r="Y44" s="2328"/>
      <c r="Z44" s="2328"/>
      <c r="AA44" s="2328"/>
      <c r="AB44" s="2329"/>
      <c r="AC44" s="2330"/>
      <c r="AD44" s="2331"/>
      <c r="AE44" s="2331"/>
      <c r="AF44" s="2331"/>
      <c r="AG44" s="2331"/>
      <c r="AH44" s="2331"/>
      <c r="AI44" s="2331"/>
      <c r="AJ44" s="2332"/>
      <c r="AK44" s="1140" t="s">
        <v>1679</v>
      </c>
      <c r="AM44" s="428"/>
      <c r="AN44" s="428" t="str">
        <f t="shared" si="1"/>
        <v>Наименование признака дифференциации</v>
      </c>
      <c r="AO44" s="428"/>
      <c r="AP44" s="428"/>
    </row>
    <row r="45" spans="1:42" ht="23.25" customHeight="1">
      <c r="A45" s="1244" t="s">
        <v>218</v>
      </c>
      <c r="B45" s="1244" t="s">
        <v>219</v>
      </c>
      <c r="C45" s="1244" t="s">
        <v>220</v>
      </c>
      <c r="D45" s="1244" t="s">
        <v>1690</v>
      </c>
      <c r="E45" s="2236"/>
      <c r="F45" s="2236"/>
      <c r="G45" s="2236"/>
      <c r="H45" s="2236"/>
      <c r="I45" s="2238"/>
      <c r="J45" s="2237" t="str">
        <f>I44&amp;".1"</f>
        <v>...1.1</v>
      </c>
      <c r="K45" s="1244"/>
      <c r="L45" s="1245" t="s">
        <v>1470</v>
      </c>
      <c r="P45" s="2157"/>
      <c r="Q45" s="2157">
        <v>1</v>
      </c>
      <c r="R45" s="281"/>
      <c r="S45" s="1241" t="str">
        <f>$J45</f>
        <v>...1.1</v>
      </c>
      <c r="T45" s="204" t="s">
        <v>1471</v>
      </c>
      <c r="U45" s="218"/>
      <c r="V45" s="2224"/>
      <c r="W45" s="2225"/>
      <c r="X45" s="2225"/>
      <c r="Y45" s="2225"/>
      <c r="Z45" s="2225"/>
      <c r="AA45" s="2225"/>
      <c r="AB45" s="2226"/>
      <c r="AC45" s="2224"/>
      <c r="AD45" s="2225"/>
      <c r="AE45" s="2225"/>
      <c r="AF45" s="2225"/>
      <c r="AG45" s="2225"/>
      <c r="AH45" s="2225"/>
      <c r="AI45" s="2225"/>
      <c r="AJ45" s="2226"/>
      <c r="AK45" s="1194" t="s">
        <v>1680</v>
      </c>
      <c r="AM45" s="428"/>
      <c r="AN45" s="428" t="str">
        <f t="shared" si="1"/>
        <v>Группа потребителей</v>
      </c>
      <c r="AO45" s="428"/>
      <c r="AP45" s="428"/>
    </row>
    <row r="46" spans="1:42" ht="23.25" customHeight="1">
      <c r="A46" s="1244" t="s">
        <v>218</v>
      </c>
      <c r="B46" s="1244" t="s">
        <v>219</v>
      </c>
      <c r="C46" s="1244" t="s">
        <v>220</v>
      </c>
      <c r="D46" s="1244" t="s">
        <v>1690</v>
      </c>
      <c r="E46" s="2236"/>
      <c r="F46" s="2236"/>
      <c r="G46" s="2236"/>
      <c r="H46" s="2236"/>
      <c r="I46" s="2238"/>
      <c r="J46" s="2238"/>
      <c r="K46" s="2237" t="str">
        <f>J45&amp;".1"</f>
        <v>...1.1.1</v>
      </c>
      <c r="L46" s="1245"/>
      <c r="P46" s="2157"/>
      <c r="Q46" s="2157"/>
      <c r="R46" s="281">
        <v>1</v>
      </c>
      <c r="S46" s="1241" t="str">
        <f>$K46</f>
        <v>...1.1.1</v>
      </c>
      <c r="T46" s="1306"/>
      <c r="U46" s="218"/>
      <c r="V46" s="1671"/>
      <c r="W46" s="1671"/>
      <c r="X46" s="1672"/>
      <c r="Y46" s="2233"/>
      <c r="Z46" s="2232" t="s">
        <v>66</v>
      </c>
      <c r="AA46" s="2233"/>
      <c r="AB46" s="2232" t="s">
        <v>66</v>
      </c>
      <c r="AC46" s="1667"/>
      <c r="AD46" s="1667"/>
      <c r="AE46" s="1669"/>
      <c r="AF46" s="2239"/>
      <c r="AG46" s="2031" t="s">
        <v>66</v>
      </c>
      <c r="AH46" s="2241"/>
      <c r="AI46" s="2031" t="s">
        <v>56</v>
      </c>
      <c r="AJ46" s="1706"/>
      <c r="AK46" s="233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9" t="e">
        <f ca="1">STRCHECKDATE(V47:AJ47)</f>
        <v>#NAME?</v>
      </c>
      <c r="AM46" s="428"/>
      <c r="AN46" s="428" t="str">
        <f t="shared" si="1"/>
        <v/>
      </c>
      <c r="AO46" s="428"/>
      <c r="AP46" s="428"/>
    </row>
    <row r="47" spans="1:42" ht="0" hidden="1" customHeight="1">
      <c r="A47" s="1244" t="s">
        <v>218</v>
      </c>
      <c r="B47" s="1244" t="s">
        <v>219</v>
      </c>
      <c r="C47" s="1244" t="s">
        <v>220</v>
      </c>
      <c r="D47" s="1244" t="s">
        <v>1690</v>
      </c>
      <c r="E47" s="2236"/>
      <c r="F47" s="2236"/>
      <c r="G47" s="2236"/>
      <c r="H47" s="2236"/>
      <c r="I47" s="2238"/>
      <c r="J47" s="2238"/>
      <c r="K47" s="2237"/>
      <c r="L47" s="1245"/>
      <c r="P47" s="2157"/>
      <c r="Q47" s="2157"/>
      <c r="R47" s="281"/>
      <c r="S47" s="1242"/>
      <c r="T47" s="218"/>
      <c r="U47" s="218"/>
      <c r="V47" s="1671"/>
      <c r="W47" s="1671"/>
      <c r="X47" s="1670" t="str">
        <f>Y46&amp;"-"&amp;AA46</f>
        <v>-</v>
      </c>
      <c r="Y47" s="2232"/>
      <c r="Z47" s="2232"/>
      <c r="AA47" s="2232"/>
      <c r="AB47" s="2232"/>
      <c r="AC47" s="1668"/>
      <c r="AD47" s="1668"/>
      <c r="AE47" s="1670" t="str">
        <f>AF46&amp;"-"&amp;AH46</f>
        <v>-</v>
      </c>
      <c r="AF47" s="2240"/>
      <c r="AG47" s="2031"/>
      <c r="AH47" s="2242"/>
      <c r="AI47" s="2031"/>
      <c r="AJ47" s="1707"/>
      <c r="AK47" s="2333"/>
      <c r="AM47" s="428"/>
      <c r="AN47" s="428" t="str">
        <f t="shared" si="1"/>
        <v/>
      </c>
      <c r="AO47" s="428"/>
      <c r="AP47" s="428"/>
    </row>
    <row r="48" spans="1:42" ht="21" customHeight="1">
      <c r="A48" s="1244" t="s">
        <v>218</v>
      </c>
      <c r="B48" s="1244" t="s">
        <v>219</v>
      </c>
      <c r="C48" s="1244" t="s">
        <v>220</v>
      </c>
      <c r="D48" s="1244" t="s">
        <v>1690</v>
      </c>
      <c r="E48" s="2236"/>
      <c r="F48" s="2236"/>
      <c r="G48" s="2236"/>
      <c r="H48" s="2236"/>
      <c r="I48" s="2238"/>
      <c r="J48" s="2237"/>
      <c r="K48" s="1244"/>
      <c r="L48" s="1245"/>
      <c r="P48" s="2157"/>
      <c r="Q48" s="2157"/>
      <c r="R48" s="280"/>
      <c r="S48" s="1161"/>
      <c r="T48" s="205" t="s">
        <v>1681</v>
      </c>
      <c r="U48" s="294"/>
      <c r="V48" s="294"/>
      <c r="W48" s="294"/>
      <c r="X48" s="294"/>
      <c r="Y48" s="294"/>
      <c r="Z48" s="294"/>
      <c r="AA48" s="294"/>
      <c r="AB48" s="294"/>
      <c r="AC48" s="294"/>
      <c r="AD48" s="294"/>
      <c r="AE48" s="294"/>
      <c r="AF48" s="294"/>
      <c r="AG48" s="294"/>
      <c r="AH48" s="294"/>
      <c r="AI48" s="294"/>
      <c r="AJ48" s="294"/>
      <c r="AK48" s="1140" t="s">
        <v>1682</v>
      </c>
      <c r="AM48" s="428"/>
      <c r="AN48" s="428" t="str">
        <f t="shared" si="1"/>
        <v>Добавить значение признака дифференциации</v>
      </c>
      <c r="AO48" s="428"/>
      <c r="AP48" s="428"/>
    </row>
    <row r="49" spans="1:42" ht="21" customHeight="1">
      <c r="A49" s="1244" t="s">
        <v>218</v>
      </c>
      <c r="B49" s="1244" t="s">
        <v>219</v>
      </c>
      <c r="C49" s="1244" t="s">
        <v>220</v>
      </c>
      <c r="D49" s="1244" t="s">
        <v>1690</v>
      </c>
      <c r="E49" s="2236"/>
      <c r="F49" s="2236"/>
      <c r="G49" s="2236"/>
      <c r="H49" s="2236"/>
      <c r="I49" s="2237"/>
      <c r="J49" s="1244"/>
      <c r="K49" s="1244"/>
      <c r="L49" s="1245"/>
      <c r="P49" s="2157"/>
      <c r="Q49" s="1237"/>
      <c r="R49" s="280"/>
      <c r="S49" s="1161"/>
      <c r="T49" s="291" t="s">
        <v>1476</v>
      </c>
      <c r="U49" s="294"/>
      <c r="V49" s="294"/>
      <c r="W49" s="294"/>
      <c r="X49" s="294"/>
      <c r="Y49" s="294"/>
      <c r="Z49" s="294"/>
      <c r="AA49" s="294"/>
      <c r="AB49" s="293"/>
      <c r="AC49" s="294"/>
      <c r="AD49" s="294"/>
      <c r="AE49" s="294"/>
      <c r="AF49" s="294"/>
      <c r="AG49" s="294"/>
      <c r="AH49" s="294"/>
      <c r="AI49" s="293"/>
      <c r="AJ49" s="294"/>
      <c r="AK49" s="1307"/>
      <c r="AM49" s="428"/>
      <c r="AN49" s="428" t="str">
        <f t="shared" si="1"/>
        <v>Добавить группу потребителей</v>
      </c>
      <c r="AO49" s="428"/>
      <c r="AP49" s="428"/>
    </row>
    <row r="50" spans="1:42" ht="21" customHeight="1">
      <c r="A50" s="1244" t="s">
        <v>218</v>
      </c>
      <c r="B50" s="1244" t="s">
        <v>219</v>
      </c>
      <c r="C50" s="1244" t="s">
        <v>220</v>
      </c>
      <c r="D50" s="1244" t="s">
        <v>1690</v>
      </c>
      <c r="E50" s="2236"/>
      <c r="F50" s="2236"/>
      <c r="G50" s="2236"/>
      <c r="H50" s="2235"/>
      <c r="I50" s="1244"/>
      <c r="J50" s="1244"/>
      <c r="K50" s="1244"/>
      <c r="L50" s="1245"/>
      <c r="M50" s="1246"/>
      <c r="N50" s="1246"/>
      <c r="O50" s="464"/>
      <c r="P50" s="284"/>
      <c r="Q50" s="303"/>
      <c r="R50" s="279"/>
      <c r="S50" s="1161"/>
      <c r="T50" s="299" t="s">
        <v>1683</v>
      </c>
      <c r="U50" s="294"/>
      <c r="V50" s="294"/>
      <c r="W50" s="294"/>
      <c r="X50" s="294"/>
      <c r="Y50" s="294"/>
      <c r="Z50" s="294"/>
      <c r="AA50" s="294"/>
      <c r="AB50" s="293"/>
      <c r="AC50" s="294"/>
      <c r="AD50" s="294"/>
      <c r="AE50" s="294"/>
      <c r="AF50" s="294"/>
      <c r="AG50" s="294"/>
      <c r="AH50" s="294"/>
      <c r="AI50" s="293"/>
      <c r="AJ50" s="294"/>
      <c r="AK50" s="221"/>
      <c r="AM50" s="428"/>
      <c r="AN50" s="428" t="str">
        <f t="shared" si="1"/>
        <v>Добавить наименование признака дифференциации</v>
      </c>
      <c r="AO50" s="428"/>
      <c r="AP50" s="428"/>
    </row>
    <row r="51" spans="1:42" s="1772" customFormat="1" ht="0.75" customHeight="1">
      <c r="A51" s="1228" t="s">
        <v>218</v>
      </c>
      <c r="B51" s="1228" t="s">
        <v>219</v>
      </c>
      <c r="C51" s="1200"/>
      <c r="D51" s="1200"/>
      <c r="E51" s="2236"/>
      <c r="F51" s="2235"/>
      <c r="G51" s="1200"/>
      <c r="H51" s="1200"/>
      <c r="I51" s="1200"/>
      <c r="J51" s="1200"/>
      <c r="K51" s="1200"/>
      <c r="L51" s="1295"/>
      <c r="M51" s="1207"/>
      <c r="N51" s="1207"/>
      <c r="P51" s="1202"/>
      <c r="Q51" s="1203"/>
      <c r="R51" s="1202"/>
      <c r="S51" s="1208"/>
      <c r="T51" s="1211" t="s">
        <v>1437</v>
      </c>
      <c r="U51" s="1210"/>
      <c r="V51" s="1210"/>
      <c r="W51" s="1210"/>
      <c r="X51" s="1210"/>
      <c r="Y51" s="1210"/>
      <c r="Z51" s="1210"/>
      <c r="AA51" s="1210"/>
      <c r="AB51" s="1210"/>
      <c r="AC51" s="1210"/>
      <c r="AD51" s="1210"/>
      <c r="AE51" s="1210"/>
      <c r="AF51" s="1210"/>
      <c r="AG51" s="1210"/>
      <c r="AH51" s="1210"/>
      <c r="AI51" s="1210"/>
      <c r="AJ51" s="1210"/>
      <c r="AK51" s="1210"/>
      <c r="AM51" s="696"/>
      <c r="AN51" s="696" t="str">
        <f t="shared" si="1"/>
        <v>Добавить централизованную систему для дифференциации</v>
      </c>
      <c r="AO51" s="696"/>
      <c r="AP51" s="696"/>
    </row>
    <row r="52" spans="1:42" s="1772" customFormat="1" ht="0.75" customHeight="1">
      <c r="A52" s="1228" t="s">
        <v>218</v>
      </c>
      <c r="B52" s="1228"/>
      <c r="C52" s="1228"/>
      <c r="D52" s="1228"/>
      <c r="E52" s="2235"/>
      <c r="F52" s="1228"/>
      <c r="G52" s="1228"/>
      <c r="H52" s="1228"/>
      <c r="I52" s="1228"/>
      <c r="J52" s="1228"/>
      <c r="K52" s="1228"/>
      <c r="L52" s="1231"/>
      <c r="M52" s="1207"/>
      <c r="N52" s="1207"/>
      <c r="O52" s="446"/>
      <c r="P52" s="311"/>
      <c r="Q52" s="1229"/>
      <c r="R52" s="311"/>
      <c r="S52" s="1208"/>
      <c r="T52" s="1211" t="s">
        <v>1438</v>
      </c>
      <c r="U52" s="1210"/>
      <c r="V52" s="1210"/>
      <c r="W52" s="1210"/>
      <c r="X52" s="1210"/>
      <c r="Y52" s="1210"/>
      <c r="Z52" s="1210"/>
      <c r="AA52" s="1210"/>
      <c r="AB52" s="1210"/>
      <c r="AC52" s="1210"/>
      <c r="AD52" s="1210"/>
      <c r="AE52" s="1210"/>
      <c r="AF52" s="1210"/>
      <c r="AG52" s="1210"/>
      <c r="AH52" s="1210"/>
      <c r="AI52" s="1210"/>
      <c r="AJ52" s="1210"/>
      <c r="AK52" s="1210"/>
      <c r="AM52" s="428"/>
      <c r="AN52" s="428" t="str">
        <f t="shared" si="1"/>
        <v>Добавить территорию для дифференциации</v>
      </c>
      <c r="AO52" s="428"/>
      <c r="AP52" s="428"/>
    </row>
    <row r="53" spans="1:42" s="1772" customFormat="1" ht="0.75" customHeight="1">
      <c r="A53" s="1200"/>
      <c r="B53" s="1200"/>
      <c r="C53" s="1200"/>
      <c r="D53" s="1200"/>
      <c r="E53" s="1228"/>
      <c r="F53" s="1200"/>
      <c r="G53" s="1200"/>
      <c r="H53" s="1200"/>
      <c r="I53" s="1200"/>
      <c r="J53" s="1200"/>
      <c r="K53" s="1200"/>
      <c r="L53" s="1295"/>
      <c r="M53" s="1207"/>
      <c r="N53" s="1207"/>
      <c r="P53" s="1202"/>
      <c r="Q53" s="1203"/>
      <c r="R53" s="1202"/>
      <c r="S53" s="1208"/>
      <c r="T53" s="1211" t="s">
        <v>1439</v>
      </c>
      <c r="U53" s="1210"/>
      <c r="V53" s="1210"/>
      <c r="W53" s="1210"/>
      <c r="X53" s="1210"/>
      <c r="Y53" s="1210"/>
      <c r="Z53" s="1210"/>
      <c r="AA53" s="1210"/>
      <c r="AB53" s="1210"/>
      <c r="AC53" s="1210"/>
      <c r="AD53" s="1210"/>
      <c r="AE53" s="1210"/>
      <c r="AF53" s="1210"/>
      <c r="AG53" s="1210"/>
      <c r="AH53" s="1210"/>
      <c r="AI53" s="1210"/>
      <c r="AJ53" s="1210"/>
      <c r="AK53" s="1210"/>
      <c r="AM53" s="696"/>
      <c r="AN53" s="696" t="str">
        <f t="shared" si="1"/>
        <v>Добавить наименование тарифа</v>
      </c>
      <c r="AO53" s="696"/>
      <c r="AP53" s="696"/>
    </row>
    <row r="54" spans="1:42" ht="11.25" hidden="1" customHeight="1">
      <c r="M54" s="1036"/>
      <c r="N54" s="1036"/>
      <c r="O54" s="464"/>
      <c r="P54" s="1031"/>
      <c r="Q54" s="1031"/>
      <c r="R54" s="1031"/>
      <c r="S54" s="1031"/>
      <c r="AL54" s="1031"/>
      <c r="AM54" s="1031"/>
      <c r="AN54" s="1031"/>
      <c r="AO54" s="1031"/>
      <c r="AP54" s="1031"/>
    </row>
    <row r="55" spans="1:42" ht="14.25" hidden="1" customHeight="1">
      <c r="O55" s="464"/>
      <c r="S55" s="1128" t="s">
        <v>1509</v>
      </c>
      <c r="T55" s="2234" t="s">
        <v>1691</v>
      </c>
      <c r="U55" s="2234"/>
      <c r="V55" s="2234"/>
      <c r="W55" s="2234"/>
      <c r="X55" s="2234"/>
      <c r="Y55" s="2234"/>
      <c r="Z55" s="2234"/>
      <c r="AA55" s="2234"/>
      <c r="AB55" s="2234"/>
      <c r="AC55" s="2234"/>
      <c r="AD55" s="2234"/>
      <c r="AE55" s="2234"/>
      <c r="AF55" s="2234"/>
      <c r="AG55" s="2234"/>
      <c r="AH55" s="2234"/>
      <c r="AI55" s="2234"/>
      <c r="AJ55" s="2234"/>
      <c r="AK55" s="2234"/>
    </row>
    <row r="56" spans="1:42" ht="14.25" hidden="1" customHeight="1">
      <c r="O56" s="464"/>
    </row>
    <row r="57" spans="1:42" ht="14.25" hidden="1" customHeight="1">
      <c r="O57" s="464"/>
      <c r="S57" s="1128" t="s">
        <v>1509</v>
      </c>
      <c r="T57" s="2234" t="s">
        <v>1692</v>
      </c>
      <c r="U57" s="2234"/>
      <c r="V57" s="2234"/>
      <c r="W57" s="2234"/>
      <c r="X57" s="2234"/>
      <c r="Y57" s="2234"/>
      <c r="Z57" s="2234"/>
      <c r="AA57" s="2234"/>
      <c r="AB57" s="2234"/>
      <c r="AC57" s="2234"/>
      <c r="AD57" s="2234"/>
      <c r="AE57" s="2234"/>
      <c r="AF57" s="2234"/>
      <c r="AG57" s="2234"/>
      <c r="AH57" s="2234"/>
      <c r="AI57" s="2234"/>
      <c r="AJ57" s="2234"/>
      <c r="AK57" s="2234"/>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J5 AC5:AI5 AC44:AI44 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759" hidden="1"/>
    <col min="2" max="2" width="11" style="1759" hidden="1" customWidth="1"/>
    <col min="3" max="3" width="10.5703125" style="1759" hidden="1"/>
    <col min="4" max="4" width="11.85546875" style="1759" hidden="1" customWidth="1"/>
    <col min="5" max="5" width="10" style="1759" hidden="1" customWidth="1"/>
    <col min="6" max="6" width="8.7109375" style="1759" hidden="1" customWidth="1"/>
    <col min="7" max="7" width="7.5703125" style="1759" hidden="1" customWidth="1"/>
    <col min="8" max="8" width="11.42578125" style="1759" hidden="1" customWidth="1"/>
    <col min="9" max="9" width="14.140625" style="1759" hidden="1" customWidth="1"/>
    <col min="10" max="10" width="9.85546875" style="1759" hidden="1" customWidth="1"/>
    <col min="11" max="11" width="14.7109375" style="1759" hidden="1" customWidth="1"/>
    <col min="12" max="12" width="19.140625" style="1758" hidden="1" customWidth="1"/>
    <col min="13" max="14" width="12.28515625" style="1686" hidden="1" customWidth="1"/>
    <col min="15" max="15" width="23.42578125" style="1686" hidden="1" customWidth="1"/>
    <col min="16" max="16" width="3.7109375" style="1740" customWidth="1"/>
    <col min="17" max="18" width="3.7109375" style="1677" customWidth="1"/>
    <col min="19" max="19" width="12.7109375" style="1727" customWidth="1"/>
    <col min="20" max="20" width="35.7109375" style="1846" customWidth="1"/>
    <col min="21" max="21" width="0.140625" style="1846" customWidth="1"/>
    <col min="22" max="24" width="24.7109375" style="1846" hidden="1" customWidth="1"/>
    <col min="25" max="25" width="11.7109375" style="1846" hidden="1" customWidth="1"/>
    <col min="26" max="26" width="3.7109375" style="1846" hidden="1" customWidth="1"/>
    <col min="27" max="27" width="11.7109375" style="1846" hidden="1" customWidth="1"/>
    <col min="28" max="28" width="8.5703125" style="1846" hidden="1" customWidth="1"/>
    <col min="29" max="31" width="24.7109375" style="1846" customWidth="1"/>
    <col min="32" max="32" width="11.7109375" style="1846" customWidth="1"/>
    <col min="33" max="33" width="3.7109375" style="1846" customWidth="1"/>
    <col min="34" max="34" width="11.7109375" style="1846" customWidth="1"/>
    <col min="35" max="35" width="8.5703125" style="1846" hidden="1" customWidth="1"/>
    <col min="36" max="36" width="4.7109375" style="1846" customWidth="1"/>
    <col min="37" max="37" width="115.7109375" style="1846" customWidth="1"/>
    <col min="38" max="39" width="10.5703125" style="1772"/>
    <col min="40" max="40" width="11.140625" style="1772" customWidth="1"/>
    <col min="41" max="42" width="10.5703125" style="1772"/>
  </cols>
  <sheetData>
    <row r="1" spans="1:42" ht="14.25" hidden="1" customHeight="1">
      <c r="X1" s="254"/>
      <c r="Y1" s="254"/>
      <c r="AE1" s="254"/>
      <c r="AF1" s="254"/>
    </row>
    <row r="2" spans="1:42" ht="23.25" hidden="1" customHeight="1">
      <c r="A2" s="1244"/>
      <c r="B2" s="1244"/>
      <c r="C2" s="1244"/>
      <c r="D2" s="1244"/>
      <c r="E2" s="2235">
        <v>1</v>
      </c>
      <c r="F2" s="1244"/>
      <c r="G2" s="1244"/>
      <c r="H2" s="1244"/>
      <c r="I2" s="1244"/>
      <c r="J2" s="1244"/>
      <c r="K2" s="1244"/>
      <c r="L2" s="1245"/>
      <c r="M2" s="1246"/>
      <c r="N2" s="1246"/>
      <c r="O2" s="1246"/>
      <c r="P2" s="285"/>
      <c r="Q2" s="284"/>
      <c r="R2" s="279"/>
      <c r="S2" s="1322" t="e">
        <f>INDEX(PT_DIFFERENTIATION_NUM_NTAR,MATCH(A2,PT_DIFFERENTIATION_NTAR_ID,0))</f>
        <v>#N/A</v>
      </c>
      <c r="T2" s="216" t="s">
        <v>124</v>
      </c>
      <c r="U2" s="218"/>
      <c r="V2" s="2229"/>
      <c r="W2" s="2230"/>
      <c r="X2" s="2230"/>
      <c r="Y2" s="2230"/>
      <c r="Z2" s="2230"/>
      <c r="AA2" s="2230"/>
      <c r="AB2" s="2231"/>
      <c r="AC2" s="2229" t="e">
        <f>INDEX(PT_DIFFERENTIATION_NTAR,MATCH(A2,PT_DIFFERENTIATION_NTAR_ID,0))</f>
        <v>#N/A</v>
      </c>
      <c r="AD2" s="2230"/>
      <c r="AE2" s="2230"/>
      <c r="AF2" s="2230"/>
      <c r="AG2" s="2230"/>
      <c r="AH2" s="2230"/>
      <c r="AI2" s="2230"/>
      <c r="AJ2" s="2231"/>
      <c r="AK2" s="114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8"/>
      <c r="AN2" s="428" t="str">
        <f t="shared" ref="AN2:AN13" si="0">IF(T2="","",T2)</f>
        <v>Наименование тарифа</v>
      </c>
      <c r="AO2" s="428"/>
      <c r="AP2" s="428"/>
    </row>
    <row r="3" spans="1:42" ht="23.25" hidden="1" customHeight="1">
      <c r="A3" s="1244"/>
      <c r="B3" s="1244"/>
      <c r="C3" s="1244"/>
      <c r="D3" s="1244"/>
      <c r="E3" s="2236"/>
      <c r="F3" s="2235">
        <v>1</v>
      </c>
      <c r="G3" s="1244"/>
      <c r="H3" s="1244"/>
      <c r="I3" s="1244"/>
      <c r="J3" s="1244"/>
      <c r="K3" s="1244"/>
      <c r="L3" s="1245"/>
      <c r="M3" s="1246"/>
      <c r="N3" s="1246"/>
      <c r="O3" s="1246"/>
      <c r="P3" s="1318"/>
      <c r="Q3" s="276"/>
      <c r="R3" s="277"/>
      <c r="S3" s="1322" t="e">
        <f>INDEX(PT_DIFFERENTIATION_NUM_TER,MATCH(B3,PT_DIFFERENTIATION_TER_ID,0))</f>
        <v>#N/A</v>
      </c>
      <c r="T3" s="228" t="s">
        <v>1461</v>
      </c>
      <c r="U3" s="218"/>
      <c r="V3" s="2229"/>
      <c r="W3" s="2230"/>
      <c r="X3" s="2230"/>
      <c r="Y3" s="2230"/>
      <c r="Z3" s="2230"/>
      <c r="AA3" s="2230"/>
      <c r="AB3" s="2231"/>
      <c r="AC3" s="2229" t="e">
        <f>INDEX(PT_DIFFERENTIATION_TER,MATCH(B3,PT_DIFFERENTIATION_TER_ID,0))</f>
        <v>#N/A</v>
      </c>
      <c r="AD3" s="2230"/>
      <c r="AE3" s="2230"/>
      <c r="AF3" s="2230"/>
      <c r="AG3" s="2230"/>
      <c r="AH3" s="2230"/>
      <c r="AI3" s="2230"/>
      <c r="AJ3" s="2231"/>
      <c r="AK3" s="1140" t="s">
        <v>1462</v>
      </c>
      <c r="AM3" s="428"/>
      <c r="AN3" s="428" t="str">
        <f t="shared" si="0"/>
        <v>Территория действия тарифа</v>
      </c>
      <c r="AO3" s="428"/>
      <c r="AP3" s="428"/>
    </row>
    <row r="4" spans="1:42" ht="23.25" hidden="1" customHeight="1">
      <c r="A4" s="1244"/>
      <c r="B4" s="1244"/>
      <c r="C4" s="1244"/>
      <c r="D4" s="1244"/>
      <c r="E4" s="2236"/>
      <c r="F4" s="2236"/>
      <c r="G4" s="2235">
        <v>1</v>
      </c>
      <c r="H4" s="1244"/>
      <c r="I4" s="1244"/>
      <c r="J4" s="1244"/>
      <c r="K4" s="1244"/>
      <c r="L4" s="1245"/>
      <c r="M4" s="1246"/>
      <c r="N4" s="1246"/>
      <c r="O4" s="1246"/>
      <c r="P4" s="278"/>
      <c r="Q4" s="276"/>
      <c r="R4" s="277"/>
      <c r="S4" s="1322" t="e">
        <f>INDEX(PT_DIFFERENTIATION_NUM_CS,MATCH(C4,PT_DIFFERENTIATION_CS_ID,0))</f>
        <v>#N/A</v>
      </c>
      <c r="T4" s="229" t="s">
        <v>1676</v>
      </c>
      <c r="U4" s="218"/>
      <c r="V4" s="2229"/>
      <c r="W4" s="2230"/>
      <c r="X4" s="2230"/>
      <c r="Y4" s="2230"/>
      <c r="Z4" s="2230"/>
      <c r="AA4" s="2230"/>
      <c r="AB4" s="2231"/>
      <c r="AC4" s="2229" t="e">
        <f>INDEX(PT_DIFFERENTIATION_CS,MATCH(C4,PT_DIFFERENTIATION_CS_ID,0))</f>
        <v>#N/A</v>
      </c>
      <c r="AD4" s="2230"/>
      <c r="AE4" s="2230"/>
      <c r="AF4" s="2230"/>
      <c r="AG4" s="2230"/>
      <c r="AH4" s="2230"/>
      <c r="AI4" s="2230"/>
      <c r="AJ4" s="2231"/>
      <c r="AK4" s="1140" t="s">
        <v>1677</v>
      </c>
      <c r="AM4" s="428"/>
      <c r="AN4" s="428" t="str">
        <f t="shared" si="0"/>
        <v>Наименование централизованной системы холодного водоснабжения</v>
      </c>
      <c r="AO4" s="428"/>
      <c r="AP4" s="428"/>
    </row>
    <row r="5" spans="1:42" ht="23.25" hidden="1" customHeight="1">
      <c r="A5" s="1244"/>
      <c r="B5" s="1244"/>
      <c r="C5" s="1244"/>
      <c r="D5" s="1244"/>
      <c r="E5" s="2236"/>
      <c r="F5" s="2236"/>
      <c r="G5" s="2236"/>
      <c r="H5" s="2236"/>
      <c r="I5" s="2237" t="e">
        <f>S4&amp;".1"</f>
        <v>#N/A</v>
      </c>
      <c r="J5" s="1244"/>
      <c r="K5" s="1244"/>
      <c r="L5" s="1245"/>
      <c r="P5" s="2157">
        <v>1</v>
      </c>
      <c r="Q5" s="1315"/>
      <c r="R5" s="280"/>
      <c r="S5" s="1322" t="e">
        <f>$I5</f>
        <v>#N/A</v>
      </c>
      <c r="T5" s="203" t="s">
        <v>1678</v>
      </c>
      <c r="U5" s="218"/>
      <c r="V5" s="2327"/>
      <c r="W5" s="2328"/>
      <c r="X5" s="2328"/>
      <c r="Y5" s="2328"/>
      <c r="Z5" s="2328"/>
      <c r="AA5" s="2328"/>
      <c r="AB5" s="2329"/>
      <c r="AC5" s="2330"/>
      <c r="AD5" s="2331"/>
      <c r="AE5" s="2331"/>
      <c r="AF5" s="2331"/>
      <c r="AG5" s="2331"/>
      <c r="AH5" s="2331"/>
      <c r="AI5" s="2331"/>
      <c r="AJ5" s="2332"/>
      <c r="AK5" s="1140" t="s">
        <v>1679</v>
      </c>
      <c r="AM5" s="428"/>
      <c r="AN5" s="428" t="str">
        <f t="shared" si="0"/>
        <v>Наименование признака дифференциации</v>
      </c>
      <c r="AO5" s="428"/>
      <c r="AP5" s="428"/>
    </row>
    <row r="6" spans="1:42" ht="23.25" hidden="1" customHeight="1">
      <c r="A6" s="1244"/>
      <c r="B6" s="1244"/>
      <c r="C6" s="1244"/>
      <c r="D6" s="1244"/>
      <c r="E6" s="2236"/>
      <c r="F6" s="2236"/>
      <c r="G6" s="2236"/>
      <c r="H6" s="2236"/>
      <c r="I6" s="2238"/>
      <c r="J6" s="2237" t="e">
        <f>I5&amp;".1"</f>
        <v>#N/A</v>
      </c>
      <c r="K6" s="1244"/>
      <c r="L6" s="1245" t="s">
        <v>1470</v>
      </c>
      <c r="P6" s="2157"/>
      <c r="Q6" s="2157">
        <v>1</v>
      </c>
      <c r="R6" s="281"/>
      <c r="S6" s="1322" t="e">
        <f>$J6</f>
        <v>#N/A</v>
      </c>
      <c r="T6" s="204" t="s">
        <v>1471</v>
      </c>
      <c r="U6" s="218"/>
      <c r="V6" s="2224"/>
      <c r="W6" s="2225"/>
      <c r="X6" s="2225"/>
      <c r="Y6" s="2225"/>
      <c r="Z6" s="2225"/>
      <c r="AA6" s="2225"/>
      <c r="AB6" s="2226"/>
      <c r="AC6" s="2224"/>
      <c r="AD6" s="2225"/>
      <c r="AE6" s="2225"/>
      <c r="AF6" s="2225"/>
      <c r="AG6" s="2225"/>
      <c r="AH6" s="2225"/>
      <c r="AI6" s="2225"/>
      <c r="AJ6" s="2226"/>
      <c r="AK6" s="1194" t="s">
        <v>1680</v>
      </c>
      <c r="AM6" s="428"/>
      <c r="AN6" s="428" t="str">
        <f t="shared" si="0"/>
        <v>Группа потребителей</v>
      </c>
      <c r="AO6" s="428"/>
      <c r="AP6" s="428"/>
    </row>
    <row r="7" spans="1:42" ht="23.25" hidden="1" customHeight="1">
      <c r="A7" s="1244"/>
      <c r="B7" s="1244"/>
      <c r="C7" s="1244"/>
      <c r="D7" s="1244"/>
      <c r="E7" s="2236"/>
      <c r="F7" s="2236"/>
      <c r="G7" s="2236"/>
      <c r="H7" s="2236"/>
      <c r="I7" s="2238"/>
      <c r="J7" s="2238"/>
      <c r="K7" s="2237" t="e">
        <f>J6&amp;".1"</f>
        <v>#N/A</v>
      </c>
      <c r="L7" s="1245"/>
      <c r="P7" s="2157"/>
      <c r="Q7" s="2157"/>
      <c r="R7" s="281">
        <v>1</v>
      </c>
      <c r="S7" s="1322" t="e">
        <f>$K7</f>
        <v>#N/A</v>
      </c>
      <c r="T7" s="1306"/>
      <c r="U7" s="218"/>
      <c r="V7" s="1667"/>
      <c r="W7" s="1667"/>
      <c r="X7" s="1669"/>
      <c r="Y7" s="2239"/>
      <c r="Z7" s="2031" t="s">
        <v>66</v>
      </c>
      <c r="AA7" s="2239"/>
      <c r="AB7" s="2031" t="s">
        <v>66</v>
      </c>
      <c r="AC7" s="1667"/>
      <c r="AD7" s="1667"/>
      <c r="AE7" s="1669"/>
      <c r="AF7" s="2239"/>
      <c r="AG7" s="2031" t="s">
        <v>66</v>
      </c>
      <c r="AH7" s="2241"/>
      <c r="AI7" s="2031" t="s">
        <v>66</v>
      </c>
      <c r="AJ7" s="1706"/>
      <c r="AK7" s="233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9" t="e">
        <f ca="1">STRCHECKDATE(V8:AJ8)</f>
        <v>#NAME?</v>
      </c>
      <c r="AM7" s="428"/>
      <c r="AN7" s="428" t="str">
        <f t="shared" si="0"/>
        <v/>
      </c>
      <c r="AO7" s="428"/>
      <c r="AP7" s="428"/>
    </row>
    <row r="8" spans="1:42" ht="0.75" hidden="1" customHeight="1">
      <c r="A8" s="1244"/>
      <c r="B8" s="1244"/>
      <c r="C8" s="1244"/>
      <c r="D8" s="1244"/>
      <c r="E8" s="2236"/>
      <c r="F8" s="2236"/>
      <c r="G8" s="2236"/>
      <c r="H8" s="2236"/>
      <c r="I8" s="2238"/>
      <c r="J8" s="2238"/>
      <c r="K8" s="2237"/>
      <c r="L8" s="1245"/>
      <c r="P8" s="2157"/>
      <c r="Q8" s="2157"/>
      <c r="R8" s="281"/>
      <c r="S8" s="1321"/>
      <c r="T8" s="218"/>
      <c r="U8" s="218"/>
      <c r="V8" s="1668"/>
      <c r="W8" s="1668"/>
      <c r="X8" s="1670" t="str">
        <f>Y7&amp;"-"&amp;AA7</f>
        <v>-</v>
      </c>
      <c r="Y8" s="2240"/>
      <c r="Z8" s="2031"/>
      <c r="AA8" s="2240"/>
      <c r="AB8" s="2031"/>
      <c r="AC8" s="1668"/>
      <c r="AD8" s="1668"/>
      <c r="AE8" s="1670" t="str">
        <f>AF7&amp;"-"&amp;AH7</f>
        <v>-</v>
      </c>
      <c r="AF8" s="2240"/>
      <c r="AG8" s="2031"/>
      <c r="AH8" s="2242"/>
      <c r="AI8" s="2031"/>
      <c r="AJ8" s="1707"/>
      <c r="AK8" s="2333"/>
      <c r="AM8" s="428"/>
      <c r="AN8" s="428" t="str">
        <f t="shared" si="0"/>
        <v/>
      </c>
      <c r="AO8" s="428"/>
      <c r="AP8" s="428"/>
    </row>
    <row r="9" spans="1:42" ht="21" hidden="1" customHeight="1">
      <c r="A9" s="1244"/>
      <c r="B9" s="1244"/>
      <c r="C9" s="1244"/>
      <c r="D9" s="1244"/>
      <c r="E9" s="2236"/>
      <c r="F9" s="2236"/>
      <c r="G9" s="2236"/>
      <c r="H9" s="2236"/>
      <c r="I9" s="2238"/>
      <c r="J9" s="2237"/>
      <c r="K9" s="1244"/>
      <c r="L9" s="1245"/>
      <c r="P9" s="2157"/>
      <c r="Q9" s="2157"/>
      <c r="R9" s="280"/>
      <c r="S9" s="1161"/>
      <c r="T9" s="205" t="s">
        <v>1681</v>
      </c>
      <c r="U9" s="294"/>
      <c r="V9" s="294"/>
      <c r="W9" s="294"/>
      <c r="X9" s="294"/>
      <c r="Y9" s="294"/>
      <c r="Z9" s="294"/>
      <c r="AA9" s="294"/>
      <c r="AB9" s="294"/>
      <c r="AC9" s="294"/>
      <c r="AD9" s="294"/>
      <c r="AE9" s="294"/>
      <c r="AF9" s="294"/>
      <c r="AG9" s="294"/>
      <c r="AH9" s="294"/>
      <c r="AI9" s="294"/>
      <c r="AJ9" s="294"/>
      <c r="AK9" s="1140" t="s">
        <v>1682</v>
      </c>
      <c r="AM9" s="428"/>
      <c r="AN9" s="428" t="str">
        <f t="shared" si="0"/>
        <v>Добавить значение признака дифференциации</v>
      </c>
      <c r="AO9" s="428"/>
      <c r="AP9" s="428"/>
    </row>
    <row r="10" spans="1:42" ht="21" hidden="1" customHeight="1">
      <c r="A10" s="1244"/>
      <c r="B10" s="1244"/>
      <c r="C10" s="1244"/>
      <c r="D10" s="1244"/>
      <c r="E10" s="2236"/>
      <c r="F10" s="2236"/>
      <c r="G10" s="2236"/>
      <c r="H10" s="2236"/>
      <c r="I10" s="2237"/>
      <c r="J10" s="1244"/>
      <c r="K10" s="1244"/>
      <c r="L10" s="1245"/>
      <c r="P10" s="2157"/>
      <c r="Q10" s="1315"/>
      <c r="R10" s="280"/>
      <c r="S10" s="1161"/>
      <c r="T10" s="291" t="s">
        <v>1476</v>
      </c>
      <c r="U10" s="294"/>
      <c r="V10" s="294"/>
      <c r="W10" s="294"/>
      <c r="X10" s="294"/>
      <c r="Y10" s="294"/>
      <c r="Z10" s="294"/>
      <c r="AA10" s="294"/>
      <c r="AB10" s="293"/>
      <c r="AC10" s="294"/>
      <c r="AD10" s="294"/>
      <c r="AE10" s="294"/>
      <c r="AF10" s="294"/>
      <c r="AG10" s="294"/>
      <c r="AH10" s="294"/>
      <c r="AI10" s="293"/>
      <c r="AJ10" s="294"/>
      <c r="AK10" s="1307"/>
      <c r="AM10" s="428"/>
      <c r="AN10" s="428" t="str">
        <f t="shared" si="0"/>
        <v>Добавить группу потребителей</v>
      </c>
      <c r="AO10" s="428"/>
      <c r="AP10" s="428"/>
    </row>
    <row r="11" spans="1:42" ht="21" hidden="1" customHeight="1">
      <c r="A11" s="1244"/>
      <c r="B11" s="1244"/>
      <c r="C11" s="1244"/>
      <c r="D11" s="1244"/>
      <c r="E11" s="2236"/>
      <c r="F11" s="2236"/>
      <c r="G11" s="2236"/>
      <c r="H11" s="2235"/>
      <c r="I11" s="1244"/>
      <c r="J11" s="1244"/>
      <c r="K11" s="1244"/>
      <c r="L11" s="1245"/>
      <c r="M11" s="1246"/>
      <c r="N11" s="1246"/>
      <c r="O11" s="464"/>
      <c r="P11" s="284"/>
      <c r="Q11" s="303"/>
      <c r="R11" s="279"/>
      <c r="S11" s="1161"/>
      <c r="T11" s="299" t="s">
        <v>1683</v>
      </c>
      <c r="U11" s="294"/>
      <c r="V11" s="294"/>
      <c r="W11" s="294"/>
      <c r="X11" s="294"/>
      <c r="Y11" s="294"/>
      <c r="Z11" s="294"/>
      <c r="AA11" s="294"/>
      <c r="AB11" s="293"/>
      <c r="AC11" s="294"/>
      <c r="AD11" s="294"/>
      <c r="AE11" s="294"/>
      <c r="AF11" s="294"/>
      <c r="AG11" s="294"/>
      <c r="AH11" s="294"/>
      <c r="AI11" s="293"/>
      <c r="AJ11" s="294"/>
      <c r="AK11" s="221"/>
      <c r="AM11" s="428"/>
      <c r="AN11" s="428" t="str">
        <f t="shared" si="0"/>
        <v>Добавить наименование признака дифференциации</v>
      </c>
      <c r="AO11" s="428"/>
      <c r="AP11" s="428"/>
    </row>
    <row r="12" spans="1:42" s="1772" customFormat="1" ht="0.75" hidden="1" customHeight="1">
      <c r="A12" s="1228"/>
      <c r="B12" s="1228"/>
      <c r="C12" s="1200"/>
      <c r="D12" s="1200"/>
      <c r="E12" s="2236"/>
      <c r="F12" s="2235"/>
      <c r="G12" s="1200"/>
      <c r="H12" s="1200"/>
      <c r="I12" s="1200"/>
      <c r="J12" s="1200"/>
      <c r="K12" s="1200"/>
      <c r="L12" s="1323"/>
      <c r="M12" s="1207"/>
      <c r="N12" s="1207"/>
      <c r="P12" s="1202"/>
      <c r="Q12" s="1203"/>
      <c r="R12" s="1202"/>
      <c r="S12" s="1208"/>
      <c r="T12" s="1211" t="s">
        <v>1437</v>
      </c>
      <c r="U12" s="1210"/>
      <c r="V12" s="1210"/>
      <c r="W12" s="1210"/>
      <c r="X12" s="1210"/>
      <c r="Y12" s="1210"/>
      <c r="Z12" s="1210"/>
      <c r="AA12" s="1210"/>
      <c r="AB12" s="1210"/>
      <c r="AC12" s="1210"/>
      <c r="AD12" s="1210"/>
      <c r="AE12" s="1210"/>
      <c r="AF12" s="1210"/>
      <c r="AG12" s="1210"/>
      <c r="AH12" s="1210"/>
      <c r="AI12" s="1210"/>
      <c r="AJ12" s="1210"/>
      <c r="AK12" s="1210"/>
      <c r="AM12" s="696"/>
      <c r="AN12" s="696" t="str">
        <f t="shared" si="0"/>
        <v>Добавить централизованную систему для дифференциации</v>
      </c>
      <c r="AO12" s="696"/>
      <c r="AP12" s="696"/>
    </row>
    <row r="13" spans="1:42" s="1772" customFormat="1" ht="0.75" hidden="1" customHeight="1">
      <c r="A13" s="1228"/>
      <c r="B13" s="1228"/>
      <c r="C13" s="1228"/>
      <c r="D13" s="1228"/>
      <c r="E13" s="2235"/>
      <c r="F13" s="1228"/>
      <c r="G13" s="1228"/>
      <c r="H13" s="1228"/>
      <c r="I13" s="1228"/>
      <c r="J13" s="1228"/>
      <c r="K13" s="1228"/>
      <c r="L13" s="1231"/>
      <c r="M13" s="1207"/>
      <c r="N13" s="1207"/>
      <c r="O13" s="446"/>
      <c r="P13" s="311"/>
      <c r="Q13" s="1229"/>
      <c r="R13" s="311"/>
      <c r="S13" s="1208"/>
      <c r="T13" s="1211" t="s">
        <v>1438</v>
      </c>
      <c r="U13" s="1210"/>
      <c r="V13" s="1210"/>
      <c r="W13" s="1210"/>
      <c r="X13" s="1210"/>
      <c r="Y13" s="1210"/>
      <c r="Z13" s="1210"/>
      <c r="AA13" s="1210"/>
      <c r="AB13" s="1210"/>
      <c r="AC13" s="1210"/>
      <c r="AD13" s="1210"/>
      <c r="AE13" s="1210"/>
      <c r="AF13" s="1210"/>
      <c r="AG13" s="1210"/>
      <c r="AH13" s="1210"/>
      <c r="AI13" s="1210"/>
      <c r="AJ13" s="1210"/>
      <c r="AK13" s="1210"/>
      <c r="AM13" s="428"/>
      <c r="AN13" s="428" t="str">
        <f t="shared" si="0"/>
        <v>Добавить территорию для дифференциации</v>
      </c>
      <c r="AO13" s="428"/>
      <c r="AP13" s="428"/>
    </row>
    <row r="14" spans="1:42" ht="14.25" hidden="1" customHeight="1">
      <c r="AB14" s="254"/>
      <c r="AI14" s="254"/>
    </row>
    <row r="15" spans="1:42" ht="14.25" hidden="1" customHeight="1">
      <c r="AC15" s="1671"/>
      <c r="AD15" s="1671"/>
      <c r="AE15" s="1672"/>
      <c r="AF15" s="2233"/>
      <c r="AG15" s="2232" t="s">
        <v>66</v>
      </c>
      <c r="AH15" s="2233"/>
      <c r="AI15" s="2232" t="s">
        <v>66</v>
      </c>
    </row>
    <row r="16" spans="1:42" ht="14.25" hidden="1" customHeight="1">
      <c r="AC16" s="1671"/>
      <c r="AD16" s="1671"/>
      <c r="AE16" s="1670" t="str">
        <f>AF15&amp;"-"&amp;AH15</f>
        <v>-</v>
      </c>
      <c r="AF16" s="2232"/>
      <c r="AG16" s="2232"/>
      <c r="AH16" s="2232"/>
      <c r="AI16" s="2232"/>
    </row>
    <row r="17" spans="1:42" ht="14.25" hidden="1" customHeight="1">
      <c r="AI17" s="254"/>
    </row>
    <row r="18" spans="1:42" s="1759" customFormat="1" ht="22.5" hidden="1" customHeight="1">
      <c r="L18" s="1312"/>
      <c r="M18" s="1243"/>
      <c r="N18" s="1243"/>
      <c r="O18" s="1248" t="s">
        <v>1478</v>
      </c>
      <c r="P18" s="1243"/>
      <c r="Q18" s="1252"/>
      <c r="R18" s="1252"/>
      <c r="S18" s="644"/>
      <c r="Y18" s="1248"/>
      <c r="AA18" s="1248"/>
      <c r="AB18" s="1247"/>
      <c r="AF18" s="1248"/>
      <c r="AH18" s="1248"/>
      <c r="AI18" s="1247"/>
      <c r="AL18" s="439"/>
      <c r="AM18" s="439"/>
      <c r="AN18" s="439"/>
      <c r="AO18" s="439"/>
      <c r="AP18" s="439"/>
    </row>
    <row r="19" spans="1:42" s="1759" customFormat="1" ht="14.25" hidden="1" customHeight="1">
      <c r="L19" s="1312"/>
      <c r="M19" s="1243"/>
      <c r="N19" s="1243"/>
      <c r="O19" s="1243"/>
      <c r="P19" s="1243"/>
      <c r="Q19" s="1252"/>
      <c r="R19" s="1252"/>
      <c r="S19" s="644"/>
      <c r="AB19" s="1247"/>
      <c r="AI19" s="1247"/>
      <c r="AL19" s="439"/>
      <c r="AM19" s="439"/>
      <c r="AN19" s="439"/>
      <c r="AO19" s="439"/>
      <c r="AP19" s="439"/>
    </row>
    <row r="20" spans="1:42" s="1759" customFormat="1" ht="12" hidden="1" customHeight="1">
      <c r="L20" s="1312"/>
      <c r="M20" s="1243"/>
      <c r="N20" s="1243"/>
      <c r="O20" s="1245" t="s">
        <v>1479</v>
      </c>
      <c r="P20" s="1243"/>
      <c r="Q20" s="1308"/>
      <c r="R20" s="1308"/>
      <c r="S20" s="644"/>
      <c r="T20" s="1036" t="s">
        <v>1480</v>
      </c>
      <c r="Z20" s="111" t="s">
        <v>1481</v>
      </c>
      <c r="AB20" s="111" t="s">
        <v>1482</v>
      </c>
      <c r="AC20" s="1036" t="s">
        <v>1480</v>
      </c>
      <c r="AG20" s="111" t="s">
        <v>1483</v>
      </c>
      <c r="AI20" s="111" t="s">
        <v>1482</v>
      </c>
    </row>
    <row r="21" spans="1:42" ht="14.25" hidden="1" customHeight="1">
      <c r="O21" s="1245"/>
    </row>
    <row r="22" spans="1:42" ht="14.25" hidden="1" customHeight="1">
      <c r="O22" s="1245"/>
    </row>
    <row r="23" spans="1:42" ht="14.25" customHeight="1">
      <c r="Q23" s="304"/>
      <c r="R23" s="304"/>
      <c r="S23" s="1158"/>
      <c r="T23" s="289"/>
      <c r="U23" s="289"/>
      <c r="V23" s="437"/>
      <c r="W23" s="437"/>
      <c r="X23" s="437"/>
      <c r="Y23" s="437"/>
      <c r="Z23" s="437"/>
      <c r="AA23" s="437"/>
      <c r="AB23" s="437"/>
      <c r="AC23" s="437"/>
      <c r="AD23" s="437"/>
      <c r="AE23" s="437"/>
      <c r="AF23" s="437"/>
      <c r="AG23" s="437"/>
      <c r="AH23" s="437"/>
      <c r="AI23" s="437"/>
    </row>
    <row r="24" spans="1:42" ht="32.25" customHeight="1">
      <c r="Q24" s="304"/>
      <c r="R24" s="304"/>
      <c r="S24" s="2079"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079"/>
      <c r="U24" s="2079"/>
      <c r="V24" s="2079"/>
      <c r="W24" s="2079"/>
      <c r="X24" s="2079"/>
      <c r="Y24" s="2079"/>
      <c r="Z24" s="2079"/>
      <c r="AA24" s="2079"/>
      <c r="AB24" s="2079"/>
      <c r="AC24" s="2079"/>
      <c r="AD24" s="2079"/>
      <c r="AE24" s="2079"/>
      <c r="AF24" s="2079"/>
      <c r="AG24" s="2079"/>
      <c r="AH24" s="2079"/>
      <c r="AI24" s="1116"/>
    </row>
    <row r="25" spans="1:42" ht="14.25" customHeight="1">
      <c r="Q25" s="304"/>
      <c r="R25" s="304"/>
      <c r="S25" s="2102" t="str">
        <f>IF(org=0,"Не определено",org)</f>
        <v>ООО "Автозаводская ТЭЦ"</v>
      </c>
      <c r="T25" s="2102"/>
      <c r="U25" s="2102"/>
      <c r="V25" s="2102"/>
      <c r="W25" s="2102"/>
      <c r="X25" s="2102"/>
      <c r="Y25" s="2102"/>
      <c r="Z25" s="2102"/>
      <c r="AA25" s="2102"/>
      <c r="AB25" s="2102"/>
      <c r="AC25" s="2102"/>
      <c r="AD25" s="2102"/>
      <c r="AE25" s="2102"/>
      <c r="AF25" s="2102"/>
      <c r="AG25" s="2102"/>
      <c r="AH25" s="2102"/>
      <c r="AI25" s="1116"/>
    </row>
    <row r="26" spans="1:42" ht="14.25" hidden="1" customHeight="1">
      <c r="Q26" s="304"/>
      <c r="R26" s="304"/>
      <c r="S26" s="1158"/>
      <c r="T26" s="289"/>
      <c r="U26" s="289"/>
      <c r="V26" s="248"/>
      <c r="W26" s="248"/>
      <c r="X26" s="248"/>
      <c r="Y26" s="248"/>
      <c r="Z26" s="248"/>
      <c r="AA26" s="248"/>
      <c r="AB26" s="248"/>
      <c r="AC26" s="248"/>
      <c r="AD26" s="248"/>
      <c r="AE26" s="248"/>
      <c r="AF26" s="248"/>
      <c r="AG26" s="248"/>
      <c r="AH26" s="248"/>
      <c r="AI26" s="248"/>
      <c r="AJ26" s="437"/>
    </row>
    <row r="27" spans="1:42" s="1950" customFormat="1" ht="25.5" hidden="1" customHeight="1">
      <c r="A27" s="1249"/>
      <c r="B27" s="1249"/>
      <c r="C27" s="1249"/>
      <c r="D27" s="1249"/>
      <c r="E27" s="1249"/>
      <c r="F27" s="1249"/>
      <c r="G27" s="1249"/>
      <c r="H27" s="1249"/>
      <c r="I27" s="1249"/>
      <c r="J27" s="1249"/>
      <c r="K27" s="1249"/>
      <c r="L27" s="1250"/>
      <c r="M27" s="1249"/>
      <c r="N27" s="1249"/>
      <c r="O27" s="1249"/>
      <c r="S27" s="2227" t="s">
        <v>38</v>
      </c>
      <c r="T27" s="2227"/>
      <c r="U27" s="1253"/>
      <c r="V27" s="2228" t="str">
        <f>IF(TITLE_NAME_OR_PR_CHANGE="",IF(TITLE_NAME_OR_PR="","",TITLE_NAME_OR_PR),TITLE_NAME_OR_PR_CHANGE)</f>
        <v/>
      </c>
      <c r="W27" s="2228"/>
      <c r="X27" s="2228"/>
      <c r="Y27" s="2228"/>
      <c r="Z27" s="2228"/>
      <c r="AA27" s="2228"/>
      <c r="AB27" s="253"/>
      <c r="AC27" s="2228" t="str">
        <f>IF(TITLE_NAME_OR_PR_CHANGE="",IF(TITLE_NAME_OR_PR="","",TITLE_NAME_OR_PR),TITLE_NAME_OR_PR_CHANGE)</f>
        <v/>
      </c>
      <c r="AD27" s="2228"/>
      <c r="AE27" s="2228"/>
      <c r="AF27" s="2228"/>
      <c r="AG27" s="2228"/>
      <c r="AH27" s="2228"/>
      <c r="AI27" s="253"/>
      <c r="AJ27" s="253"/>
      <c r="AK27" s="199"/>
      <c r="AL27" s="295"/>
      <c r="AM27" s="295"/>
      <c r="AN27" s="295"/>
      <c r="AO27" s="295"/>
      <c r="AP27" s="295"/>
    </row>
    <row r="28" spans="1:42" s="1950" customFormat="1" ht="18.75" hidden="1" customHeight="1">
      <c r="A28" s="1249"/>
      <c r="B28" s="1249"/>
      <c r="C28" s="1249"/>
      <c r="D28" s="1249"/>
      <c r="E28" s="1249"/>
      <c r="F28" s="1249"/>
      <c r="G28" s="1249"/>
      <c r="H28" s="1249"/>
      <c r="I28" s="1249"/>
      <c r="J28" s="1249"/>
      <c r="K28" s="1249"/>
      <c r="L28" s="1250"/>
      <c r="M28" s="1249"/>
      <c r="N28" s="1249"/>
      <c r="O28" s="1249"/>
      <c r="S28" s="2227" t="s">
        <v>1484</v>
      </c>
      <c r="T28" s="2227"/>
      <c r="U28" s="1253"/>
      <c r="V28" s="2228" t="str">
        <f>IF(TITLE_DATE_CHANGE_PERIOD="",IF(TITLE_DATE_PR="","",TITLE_DATE_PR),TITLE_DATE_CHANGE_PERIOD)</f>
        <v/>
      </c>
      <c r="W28" s="2228"/>
      <c r="X28" s="2228"/>
      <c r="Y28" s="2228"/>
      <c r="Z28" s="2228"/>
      <c r="AA28" s="2228"/>
      <c r="AB28" s="253"/>
      <c r="AC28" s="2228" t="str">
        <f>IF(TITLE_DATE_CHANGE_PERIOD="",IF(TITLE_DATE_PR="","",TITLE_DATE_PR),TITLE_DATE_CHANGE_PERIOD)</f>
        <v/>
      </c>
      <c r="AD28" s="2228"/>
      <c r="AE28" s="2228"/>
      <c r="AF28" s="2228"/>
      <c r="AG28" s="2228"/>
      <c r="AH28" s="2228"/>
      <c r="AI28" s="253"/>
      <c r="AJ28" s="253"/>
      <c r="AK28" s="199"/>
      <c r="AL28" s="295"/>
      <c r="AM28" s="295"/>
      <c r="AN28" s="295"/>
      <c r="AO28" s="295"/>
      <c r="AP28" s="295"/>
    </row>
    <row r="29" spans="1:42" s="1950" customFormat="1" ht="18.75" hidden="1" customHeight="1">
      <c r="A29" s="1249"/>
      <c r="B29" s="1249"/>
      <c r="C29" s="1249"/>
      <c r="D29" s="1249"/>
      <c r="E29" s="1249"/>
      <c r="F29" s="1249"/>
      <c r="G29" s="1249"/>
      <c r="H29" s="1249"/>
      <c r="I29" s="1249"/>
      <c r="J29" s="1249"/>
      <c r="K29" s="1249"/>
      <c r="L29" s="1250"/>
      <c r="M29" s="1249"/>
      <c r="N29" s="1249"/>
      <c r="O29" s="1249"/>
      <c r="S29" s="2227" t="s">
        <v>1485</v>
      </c>
      <c r="T29" s="2227"/>
      <c r="U29" s="1253"/>
      <c r="V29" s="2228" t="str">
        <f>IF(TITLE_NUMBER_PR_CHANGE="",IF(TITLE_NUMBER_PR="","",TITLE_NUMBER_PR),TITLE_NUMBER_PR_CHANGE)</f>
        <v/>
      </c>
      <c r="W29" s="2228"/>
      <c r="X29" s="2228"/>
      <c r="Y29" s="2228"/>
      <c r="Z29" s="2228"/>
      <c r="AA29" s="2228"/>
      <c r="AB29" s="253"/>
      <c r="AC29" s="2228" t="str">
        <f>IF(TITLE_NUMBER_PR_CHANGE="",IF(TITLE_NUMBER_PR="","",TITLE_NUMBER_PR),TITLE_NUMBER_PR_CHANGE)</f>
        <v/>
      </c>
      <c r="AD29" s="2228"/>
      <c r="AE29" s="2228"/>
      <c r="AF29" s="2228"/>
      <c r="AG29" s="2228"/>
      <c r="AH29" s="2228"/>
      <c r="AI29" s="253"/>
      <c r="AJ29" s="253"/>
      <c r="AK29" s="199"/>
      <c r="AL29" s="295"/>
      <c r="AM29" s="295"/>
      <c r="AN29" s="295"/>
      <c r="AO29" s="295"/>
      <c r="AP29" s="295"/>
    </row>
    <row r="30" spans="1:42" s="1950" customFormat="1" ht="18.75" hidden="1" customHeight="1">
      <c r="A30" s="1249"/>
      <c r="B30" s="1249"/>
      <c r="C30" s="1249"/>
      <c r="D30" s="1249"/>
      <c r="E30" s="1249"/>
      <c r="F30" s="1249"/>
      <c r="G30" s="1249"/>
      <c r="H30" s="1249"/>
      <c r="I30" s="1249"/>
      <c r="J30" s="1249"/>
      <c r="K30" s="1249"/>
      <c r="L30" s="1250"/>
      <c r="M30" s="1249"/>
      <c r="N30" s="1249"/>
      <c r="O30" s="1249"/>
      <c r="S30" s="2227" t="s">
        <v>39</v>
      </c>
      <c r="T30" s="2227"/>
      <c r="U30" s="1253"/>
      <c r="V30" s="2228" t="str">
        <f>IF(TITLE_IST_PUB_CHANGE="",IF(TITLE_IST_PUB="","",TITLE_IST_PUB),TITLE_IST_PUB_CHANGE)</f>
        <v/>
      </c>
      <c r="W30" s="2228"/>
      <c r="X30" s="2228"/>
      <c r="Y30" s="2228"/>
      <c r="Z30" s="2228"/>
      <c r="AA30" s="2228"/>
      <c r="AB30" s="253"/>
      <c r="AC30" s="2228" t="str">
        <f>IF(TITLE_IST_PUB_CHANGE="",IF(TITLE_IST_PUB="","",TITLE_IST_PUB),TITLE_IST_PUB_CHANGE)</f>
        <v/>
      </c>
      <c r="AD30" s="2228"/>
      <c r="AE30" s="2228"/>
      <c r="AF30" s="2228"/>
      <c r="AG30" s="2228"/>
      <c r="AH30" s="2228"/>
      <c r="AI30" s="253"/>
      <c r="AJ30" s="253"/>
      <c r="AK30" s="199"/>
      <c r="AL30" s="295"/>
      <c r="AM30" s="295"/>
      <c r="AN30" s="295"/>
      <c r="AO30" s="295"/>
      <c r="AP30" s="295"/>
    </row>
    <row r="31" spans="1:42" ht="14.25" hidden="1" customHeight="1">
      <c r="Q31" s="304"/>
      <c r="R31" s="304"/>
      <c r="S31" s="1158"/>
      <c r="T31" s="289"/>
      <c r="U31" s="289"/>
      <c r="V31" s="248"/>
      <c r="W31" s="248"/>
      <c r="X31" s="248"/>
      <c r="Y31" s="248"/>
      <c r="Z31" s="248"/>
      <c r="AA31" s="248"/>
      <c r="AB31" s="248"/>
      <c r="AC31" s="248"/>
      <c r="AD31" s="248"/>
      <c r="AE31" s="248"/>
      <c r="AF31" s="248"/>
      <c r="AG31" s="248"/>
      <c r="AH31" s="248"/>
      <c r="AI31" s="248"/>
      <c r="AJ31" s="437"/>
    </row>
    <row r="32" spans="1:42" s="1950" customFormat="1" ht="18.75" hidden="1" customHeight="1">
      <c r="A32" s="1249"/>
      <c r="B32" s="1249"/>
      <c r="C32" s="1249"/>
      <c r="D32" s="1249"/>
      <c r="E32" s="1249"/>
      <c r="F32" s="1249"/>
      <c r="G32" s="1249"/>
      <c r="H32" s="1249"/>
      <c r="I32" s="1249"/>
      <c r="J32" s="1249"/>
      <c r="K32" s="1249"/>
      <c r="L32" s="1250"/>
      <c r="M32" s="1249"/>
      <c r="N32" s="1249"/>
      <c r="O32" s="1249"/>
      <c r="S32" s="2227" t="s">
        <v>1486</v>
      </c>
      <c r="T32" s="2227"/>
      <c r="U32" s="1253"/>
      <c r="V32" s="2228" t="str">
        <f>IF(TITLE_DATE_CHANGE_PERIOD="",IF(TITLE_DATE_PR="","",TITLE_DATE_PR),TITLE_DATE_CHANGE_PERIOD)</f>
        <v/>
      </c>
      <c r="W32" s="2228"/>
      <c r="X32" s="2228"/>
      <c r="Y32" s="2228"/>
      <c r="Z32" s="2228"/>
      <c r="AA32" s="2228"/>
      <c r="AB32" s="253"/>
      <c r="AC32" s="2228" t="str">
        <f>IF(TITLE_DATE_CHANGE_PERIOD="",IF(TITLE_DATE_PR="","",TITLE_DATE_PR),TITLE_DATE_CHANGE_PERIOD)</f>
        <v/>
      </c>
      <c r="AD32" s="2228"/>
      <c r="AE32" s="2228"/>
      <c r="AF32" s="2228"/>
      <c r="AG32" s="2228"/>
      <c r="AH32" s="2228"/>
      <c r="AI32" s="253"/>
      <c r="AJ32" s="253"/>
      <c r="AK32" s="199"/>
      <c r="AL32" s="295"/>
      <c r="AM32" s="295"/>
      <c r="AN32" s="295"/>
      <c r="AO32" s="295"/>
      <c r="AP32" s="295"/>
    </row>
    <row r="33" spans="1:42" s="1950" customFormat="1" ht="18.75" hidden="1" customHeight="1">
      <c r="A33" s="1249"/>
      <c r="B33" s="1249"/>
      <c r="C33" s="1249"/>
      <c r="D33" s="1249"/>
      <c r="E33" s="1249"/>
      <c r="F33" s="1249"/>
      <c r="G33" s="1249"/>
      <c r="H33" s="1249"/>
      <c r="I33" s="1249"/>
      <c r="J33" s="1249"/>
      <c r="K33" s="1249"/>
      <c r="L33" s="1250"/>
      <c r="M33" s="1249"/>
      <c r="N33" s="1249"/>
      <c r="O33" s="1249"/>
      <c r="S33" s="2227" t="s">
        <v>1487</v>
      </c>
      <c r="T33" s="2227"/>
      <c r="U33" s="1253"/>
      <c r="V33" s="2228" t="str">
        <f>IF(TITLE_NUMBER_PR_CHANGE="",IF(TITLE_NUMBER_PR="","",TITLE_NUMBER_PR),TITLE_NUMBER_PR_CHANGE)</f>
        <v/>
      </c>
      <c r="W33" s="2228"/>
      <c r="X33" s="2228"/>
      <c r="Y33" s="2228"/>
      <c r="Z33" s="2228"/>
      <c r="AA33" s="2228"/>
      <c r="AB33" s="253"/>
      <c r="AC33" s="2228" t="str">
        <f>IF(TITLE_NUMBER_PR_CHANGE="",IF(TITLE_NUMBER_PR="","",TITLE_NUMBER_PR),TITLE_NUMBER_PR_CHANGE)</f>
        <v/>
      </c>
      <c r="AD33" s="2228"/>
      <c r="AE33" s="2228"/>
      <c r="AF33" s="2228"/>
      <c r="AG33" s="2228"/>
      <c r="AH33" s="2228"/>
      <c r="AI33" s="253"/>
      <c r="AJ33" s="253"/>
      <c r="AK33" s="199"/>
      <c r="AL33" s="295"/>
      <c r="AM33" s="295"/>
      <c r="AN33" s="295"/>
      <c r="AO33" s="295"/>
      <c r="AP33" s="295"/>
    </row>
    <row r="34" spans="1:42" s="1950" customFormat="1" ht="0.75" customHeight="1">
      <c r="A34" s="1249"/>
      <c r="B34" s="1249"/>
      <c r="C34" s="1249"/>
      <c r="D34" s="1249"/>
      <c r="E34" s="1249"/>
      <c r="F34" s="1249"/>
      <c r="G34" s="1249"/>
      <c r="H34" s="1249"/>
      <c r="I34" s="1249"/>
      <c r="J34" s="1249"/>
      <c r="K34" s="1249"/>
      <c r="L34" s="1250"/>
      <c r="M34" s="1249"/>
      <c r="N34" s="1249"/>
      <c r="O34" s="1249"/>
      <c r="S34" s="250"/>
      <c r="T34" s="250"/>
      <c r="U34" s="1319"/>
      <c r="V34" s="253"/>
      <c r="W34" s="253"/>
      <c r="X34" s="253"/>
      <c r="Y34" s="253"/>
      <c r="Z34" s="253"/>
      <c r="AA34" s="253"/>
      <c r="AB34" s="197" t="s">
        <v>1488</v>
      </c>
      <c r="AC34" s="253"/>
      <c r="AD34" s="253"/>
      <c r="AE34" s="253"/>
      <c r="AF34" s="253"/>
      <c r="AG34" s="253"/>
      <c r="AH34" s="253"/>
      <c r="AI34" s="197" t="s">
        <v>1488</v>
      </c>
      <c r="AL34" s="295"/>
      <c r="AM34" s="295"/>
      <c r="AN34" s="295"/>
      <c r="AO34" s="295"/>
      <c r="AP34" s="295"/>
    </row>
    <row r="35" spans="1:42" ht="14.25" customHeight="1">
      <c r="Q35" s="304"/>
      <c r="R35" s="304"/>
      <c r="S35" s="1158"/>
      <c r="T35" s="289"/>
      <c r="U35" s="1117"/>
      <c r="V35" s="2246"/>
      <c r="W35" s="2246"/>
      <c r="X35" s="2246"/>
      <c r="Y35" s="2246"/>
      <c r="Z35" s="2246"/>
      <c r="AA35" s="2246"/>
      <c r="AB35" s="2246"/>
      <c r="AC35" s="2246"/>
      <c r="AD35" s="2246"/>
      <c r="AE35" s="2246"/>
      <c r="AF35" s="2246"/>
      <c r="AG35" s="2246"/>
      <c r="AH35" s="2246"/>
      <c r="AI35" s="2246"/>
    </row>
    <row r="36" spans="1:42" ht="14.25" customHeight="1">
      <c r="Q36" s="304"/>
      <c r="R36" s="304"/>
      <c r="S36" s="2021" t="s">
        <v>292</v>
      </c>
      <c r="T36" s="2021"/>
      <c r="U36" s="2021"/>
      <c r="V36" s="2021"/>
      <c r="W36" s="2021"/>
      <c r="X36" s="2021"/>
      <c r="Y36" s="2021"/>
      <c r="Z36" s="2021"/>
      <c r="AA36" s="2021"/>
      <c r="AB36" s="2021"/>
      <c r="AC36" s="2021"/>
      <c r="AD36" s="2021"/>
      <c r="AE36" s="2021"/>
      <c r="AF36" s="2021"/>
      <c r="AG36" s="2021"/>
      <c r="AH36" s="2021"/>
      <c r="AI36" s="2021"/>
      <c r="AJ36" s="2021"/>
      <c r="AK36" s="2021" t="s">
        <v>293</v>
      </c>
    </row>
    <row r="37" spans="1:42" ht="14.25" customHeight="1">
      <c r="Q37" s="304"/>
      <c r="R37" s="304"/>
      <c r="S37" s="2247" t="s">
        <v>88</v>
      </c>
      <c r="T37" s="2111" t="s">
        <v>1489</v>
      </c>
      <c r="U37" s="219"/>
      <c r="V37" s="2248" t="s">
        <v>1490</v>
      </c>
      <c r="W37" s="2249"/>
      <c r="X37" s="2249"/>
      <c r="Y37" s="2249"/>
      <c r="Z37" s="2249"/>
      <c r="AA37" s="2250"/>
      <c r="AB37" s="2251" t="s">
        <v>1491</v>
      </c>
      <c r="AC37" s="2248" t="s">
        <v>1490</v>
      </c>
      <c r="AD37" s="2249"/>
      <c r="AE37" s="2249"/>
      <c r="AF37" s="2249"/>
      <c r="AG37" s="2249"/>
      <c r="AH37" s="2250"/>
      <c r="AI37" s="2251" t="s">
        <v>1492</v>
      </c>
      <c r="AJ37" s="2254" t="s">
        <v>1493</v>
      </c>
      <c r="AK37" s="2021"/>
    </row>
    <row r="38" spans="1:42" ht="33.75" customHeight="1">
      <c r="Q38" s="304"/>
      <c r="R38" s="304"/>
      <c r="S38" s="2247"/>
      <c r="T38" s="2111"/>
      <c r="U38" s="924"/>
      <c r="V38" s="1317" t="s">
        <v>1684</v>
      </c>
      <c r="W38" s="2003" t="s">
        <v>1496</v>
      </c>
      <c r="X38" s="2002"/>
      <c r="Y38" s="2003" t="s">
        <v>1497</v>
      </c>
      <c r="Z38" s="2008"/>
      <c r="AA38" s="2002"/>
      <c r="AB38" s="2252"/>
      <c r="AC38" s="1317" t="s">
        <v>1684</v>
      </c>
      <c r="AD38" s="2003" t="s">
        <v>1496</v>
      </c>
      <c r="AE38" s="2002"/>
      <c r="AF38" s="2003" t="s">
        <v>1497</v>
      </c>
      <c r="AG38" s="2008"/>
      <c r="AH38" s="2002"/>
      <c r="AI38" s="2252"/>
      <c r="AJ38" s="2255"/>
      <c r="AK38" s="2021"/>
    </row>
    <row r="39" spans="1:42" ht="33.75" customHeight="1">
      <c r="A39" s="1251"/>
      <c r="B39" s="1251" t="s">
        <v>136</v>
      </c>
      <c r="C39" s="1251" t="s">
        <v>137</v>
      </c>
      <c r="D39" s="1251" t="s">
        <v>138</v>
      </c>
      <c r="E39" s="1245" t="s">
        <v>1498</v>
      </c>
      <c r="F39" s="1245" t="s">
        <v>1499</v>
      </c>
      <c r="G39" s="1245" t="s">
        <v>1500</v>
      </c>
      <c r="H39" s="1245"/>
      <c r="I39" s="1245" t="s">
        <v>1685</v>
      </c>
      <c r="J39" s="1245" t="s">
        <v>1503</v>
      </c>
      <c r="K39" s="1245" t="s">
        <v>1686</v>
      </c>
      <c r="L39" s="1245" t="s">
        <v>1479</v>
      </c>
      <c r="Q39" s="304"/>
      <c r="R39" s="304"/>
      <c r="S39" s="2247"/>
      <c r="T39" s="2111"/>
      <c r="U39" s="220"/>
      <c r="V39" s="1317" t="s">
        <v>1687</v>
      </c>
      <c r="W39" s="1092" t="s">
        <v>1688</v>
      </c>
      <c r="X39" s="1092" t="s">
        <v>1689</v>
      </c>
      <c r="Y39" s="1320" t="s">
        <v>1507</v>
      </c>
      <c r="Z39" s="2117" t="s">
        <v>1508</v>
      </c>
      <c r="AA39" s="2131"/>
      <c r="AB39" s="2253"/>
      <c r="AC39" s="1317" t="s">
        <v>1687</v>
      </c>
      <c r="AD39" s="1092" t="s">
        <v>1688</v>
      </c>
      <c r="AE39" s="1092" t="s">
        <v>1689</v>
      </c>
      <c r="AF39" s="1320" t="s">
        <v>1507</v>
      </c>
      <c r="AG39" s="2117" t="s">
        <v>1508</v>
      </c>
      <c r="AH39" s="2131"/>
      <c r="AI39" s="2253"/>
      <c r="AJ39" s="2256"/>
      <c r="AK39" s="2021"/>
    </row>
    <row r="40" spans="1:42" s="1720" customFormat="1" ht="11.25" hidden="1" customHeight="1">
      <c r="A40" s="1251"/>
      <c r="B40" s="1251"/>
      <c r="C40" s="1251"/>
      <c r="D40" s="1251"/>
      <c r="E40" s="1251"/>
      <c r="F40" s="1251"/>
      <c r="G40" s="1251"/>
      <c r="H40" s="1251"/>
      <c r="I40" s="1251"/>
      <c r="J40" s="1251"/>
      <c r="K40" s="1251"/>
      <c r="L40" s="1245"/>
      <c r="M40" s="1243"/>
      <c r="N40" s="1243"/>
      <c r="O40" s="1243"/>
      <c r="P40" s="1119"/>
      <c r="Q40" s="1120"/>
      <c r="R40" s="1135">
        <v>1</v>
      </c>
      <c r="S40" s="1160" t="s">
        <v>109</v>
      </c>
      <c r="T40" s="1136" t="s">
        <v>110</v>
      </c>
      <c r="U40" s="1118" t="str">
        <f ca="1">OFFSET(U40,0,-1)</f>
        <v>2</v>
      </c>
      <c r="V40" s="1316">
        <f ca="1">OFFSET(V40,0,-1)+1</f>
        <v>3</v>
      </c>
      <c r="W40" s="1316">
        <f ca="1">OFFSET(W40,0,-1)+1</f>
        <v>4</v>
      </c>
      <c r="X40" s="1316">
        <f ca="1">OFFSET(X40,0,-1)+1</f>
        <v>5</v>
      </c>
      <c r="Y40" s="1316">
        <f ca="1">OFFSET(Y40,0,-1)+1</f>
        <v>6</v>
      </c>
      <c r="Z40" s="2245">
        <f ca="1">OFFSET(Z40,0,-1)+1</f>
        <v>7</v>
      </c>
      <c r="AA40" s="2245"/>
      <c r="AB40" s="1316">
        <f ca="1">OFFSET(AB40,0,-2)+1</f>
        <v>8</v>
      </c>
      <c r="AC40" s="1316">
        <f ca="1">OFFSET(AC40,0,-1)+1</f>
        <v>9</v>
      </c>
      <c r="AD40" s="1316">
        <f ca="1">OFFSET(AD40,0,-1)+1</f>
        <v>10</v>
      </c>
      <c r="AE40" s="1316">
        <f ca="1">OFFSET(AE40,0,-1)+1</f>
        <v>11</v>
      </c>
      <c r="AF40" s="1316">
        <f ca="1">OFFSET(AF40,0,-1)+1</f>
        <v>12</v>
      </c>
      <c r="AG40" s="2245">
        <f ca="1">OFFSET(AG40,0,-1)+1</f>
        <v>13</v>
      </c>
      <c r="AH40" s="2245"/>
      <c r="AI40" s="1316">
        <f ca="1">OFFSET(AI40,0,-2)+1</f>
        <v>14</v>
      </c>
      <c r="AJ40" s="1118">
        <f ca="1">OFFSET(AJ40,0,-1)</f>
        <v>14</v>
      </c>
      <c r="AK40" s="1316">
        <f ca="1">OFFSET(AK40,0,-1)+1</f>
        <v>15</v>
      </c>
      <c r="AL40" s="439"/>
      <c r="AM40" s="439"/>
      <c r="AN40" s="439"/>
      <c r="AO40" s="439"/>
      <c r="AP40" s="439"/>
    </row>
    <row r="41" spans="1:42" ht="23.25" customHeight="1">
      <c r="A41" s="1244" t="s">
        <v>223</v>
      </c>
      <c r="B41" s="1244"/>
      <c r="C41" s="1244"/>
      <c r="D41" s="1244"/>
      <c r="E41" s="2235">
        <v>1</v>
      </c>
      <c r="F41" s="1244"/>
      <c r="G41" s="1244"/>
      <c r="H41" s="1244"/>
      <c r="I41" s="1244"/>
      <c r="J41" s="1244"/>
      <c r="K41" s="1244"/>
      <c r="L41" s="1245"/>
      <c r="M41" s="1246"/>
      <c r="N41" s="1246"/>
      <c r="O41" s="1246"/>
      <c r="P41" s="285"/>
      <c r="Q41" s="284"/>
      <c r="R41" s="279"/>
      <c r="S41" s="1322">
        <f>INDEX(PT_DIFFERENTIATION_NUM_NTAR,MATCH(A41,PT_DIFFERENTIATION_NTAR_ID,0))</f>
        <v>0</v>
      </c>
      <c r="T41" s="216" t="s">
        <v>124</v>
      </c>
      <c r="U41" s="218"/>
      <c r="V41" s="2229"/>
      <c r="W41" s="2230"/>
      <c r="X41" s="2230"/>
      <c r="Y41" s="2230"/>
      <c r="Z41" s="2230"/>
      <c r="AA41" s="2230"/>
      <c r="AB41" s="2231"/>
      <c r="AC41" s="2229" t="str">
        <f>INDEX(PT_DIFFERENTIATION_NTAR,MATCH(A41,PT_DIFFERENTIATION_NTAR_ID,0))</f>
        <v/>
      </c>
      <c r="AD41" s="2230"/>
      <c r="AE41" s="2230"/>
      <c r="AF41" s="2230"/>
      <c r="AG41" s="2230"/>
      <c r="AH41" s="2230"/>
      <c r="AI41" s="2230"/>
      <c r="AJ41" s="2231"/>
      <c r="AK41" s="114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8"/>
      <c r="AN41" s="428" t="str">
        <f t="shared" ref="AN41:AN53" si="1">IF(T41="","",T41)</f>
        <v>Наименование тарифа</v>
      </c>
      <c r="AO41" s="428"/>
      <c r="AP41" s="428"/>
    </row>
    <row r="42" spans="1:42" ht="23.25" customHeight="1">
      <c r="A42" s="1244" t="s">
        <v>223</v>
      </c>
      <c r="B42" s="1244" t="s">
        <v>224</v>
      </c>
      <c r="C42" s="1244"/>
      <c r="D42" s="1244"/>
      <c r="E42" s="2236"/>
      <c r="F42" s="2235">
        <v>1</v>
      </c>
      <c r="G42" s="1244"/>
      <c r="H42" s="1244"/>
      <c r="I42" s="1244"/>
      <c r="J42" s="1244"/>
      <c r="K42" s="1244"/>
      <c r="L42" s="1245"/>
      <c r="M42" s="1246"/>
      <c r="N42" s="1246"/>
      <c r="O42" s="1246"/>
      <c r="P42" s="1318"/>
      <c r="Q42" s="276"/>
      <c r="R42" s="277"/>
      <c r="S42" s="1322" t="str">
        <f>INDEX(PT_DIFFERENTIATION_NUM_TER,MATCH(B42,PT_DIFFERENTIATION_TER_ID,0))</f>
        <v>.</v>
      </c>
      <c r="T42" s="228" t="s">
        <v>1461</v>
      </c>
      <c r="U42" s="218"/>
      <c r="V42" s="2229"/>
      <c r="W42" s="2230"/>
      <c r="X42" s="2230"/>
      <c r="Y42" s="2230"/>
      <c r="Z42" s="2230"/>
      <c r="AA42" s="2230"/>
      <c r="AB42" s="2231"/>
      <c r="AC42" s="2229" t="str">
        <f>INDEX(PT_DIFFERENTIATION_TER,MATCH(B42,PT_DIFFERENTIATION_TER_ID,0))</f>
        <v/>
      </c>
      <c r="AD42" s="2230"/>
      <c r="AE42" s="2230"/>
      <c r="AF42" s="2230"/>
      <c r="AG42" s="2230"/>
      <c r="AH42" s="2230"/>
      <c r="AI42" s="2230"/>
      <c r="AJ42" s="2231"/>
      <c r="AK42" s="1140" t="s">
        <v>1462</v>
      </c>
      <c r="AM42" s="428"/>
      <c r="AN42" s="428" t="str">
        <f t="shared" si="1"/>
        <v>Территория действия тарифа</v>
      </c>
      <c r="AO42" s="428"/>
      <c r="AP42" s="428"/>
    </row>
    <row r="43" spans="1:42" ht="23.25" customHeight="1">
      <c r="A43" s="1244" t="s">
        <v>223</v>
      </c>
      <c r="B43" s="1244" t="s">
        <v>224</v>
      </c>
      <c r="C43" s="1244" t="s">
        <v>225</v>
      </c>
      <c r="D43" s="1244"/>
      <c r="E43" s="2236"/>
      <c r="F43" s="2236"/>
      <c r="G43" s="2235">
        <v>1</v>
      </c>
      <c r="H43" s="1244"/>
      <c r="I43" s="1244"/>
      <c r="J43" s="1244"/>
      <c r="K43" s="1244"/>
      <c r="L43" s="1245"/>
      <c r="M43" s="1246"/>
      <c r="N43" s="1246"/>
      <c r="O43" s="1246"/>
      <c r="P43" s="278"/>
      <c r="Q43" s="276"/>
      <c r="R43" s="277"/>
      <c r="S43" s="1322" t="str">
        <f>INDEX(PT_DIFFERENTIATION_NUM_CS,MATCH(C43,PT_DIFFERENTIATION_CS_ID,0))</f>
        <v>..</v>
      </c>
      <c r="T43" s="229" t="s">
        <v>1676</v>
      </c>
      <c r="U43" s="218"/>
      <c r="V43" s="2229"/>
      <c r="W43" s="2230"/>
      <c r="X43" s="2230"/>
      <c r="Y43" s="2230"/>
      <c r="Z43" s="2230"/>
      <c r="AA43" s="2230"/>
      <c r="AB43" s="2231"/>
      <c r="AC43" s="2229" t="str">
        <f>INDEX(PT_DIFFERENTIATION_CS,MATCH(C43,PT_DIFFERENTIATION_CS_ID,0))</f>
        <v/>
      </c>
      <c r="AD43" s="2230"/>
      <c r="AE43" s="2230"/>
      <c r="AF43" s="2230"/>
      <c r="AG43" s="2230"/>
      <c r="AH43" s="2230"/>
      <c r="AI43" s="2230"/>
      <c r="AJ43" s="2231"/>
      <c r="AK43" s="1140" t="s">
        <v>1677</v>
      </c>
      <c r="AM43" s="428"/>
      <c r="AN43" s="428" t="str">
        <f t="shared" si="1"/>
        <v>Наименование централизованной системы холодного водоснабжения</v>
      </c>
      <c r="AO43" s="428"/>
      <c r="AP43" s="428"/>
    </row>
    <row r="44" spans="1:42" ht="23.25" customHeight="1">
      <c r="A44" s="1244" t="s">
        <v>223</v>
      </c>
      <c r="B44" s="1244" t="s">
        <v>224</v>
      </c>
      <c r="C44" s="1244" t="s">
        <v>225</v>
      </c>
      <c r="D44" s="1244" t="s">
        <v>1693</v>
      </c>
      <c r="E44" s="2236"/>
      <c r="F44" s="2236"/>
      <c r="G44" s="2236"/>
      <c r="H44" s="2236"/>
      <c r="I44" s="2237" t="str">
        <f>S43&amp;".1"</f>
        <v>...1</v>
      </c>
      <c r="J44" s="1244"/>
      <c r="K44" s="1244"/>
      <c r="L44" s="1245"/>
      <c r="P44" s="2157">
        <v>1</v>
      </c>
      <c r="Q44" s="1315"/>
      <c r="R44" s="280"/>
      <c r="S44" s="1322" t="str">
        <f>$I44</f>
        <v>...1</v>
      </c>
      <c r="T44" s="203" t="s">
        <v>1678</v>
      </c>
      <c r="U44" s="218"/>
      <c r="V44" s="2327"/>
      <c r="W44" s="2328"/>
      <c r="X44" s="2328"/>
      <c r="Y44" s="2328"/>
      <c r="Z44" s="2328"/>
      <c r="AA44" s="2328"/>
      <c r="AB44" s="2329"/>
      <c r="AC44" s="2330"/>
      <c r="AD44" s="2331"/>
      <c r="AE44" s="2331"/>
      <c r="AF44" s="2331"/>
      <c r="AG44" s="2331"/>
      <c r="AH44" s="2331"/>
      <c r="AI44" s="2331"/>
      <c r="AJ44" s="2332"/>
      <c r="AK44" s="1140" t="s">
        <v>1679</v>
      </c>
      <c r="AM44" s="428"/>
      <c r="AN44" s="428" t="str">
        <f t="shared" si="1"/>
        <v>Наименование признака дифференциации</v>
      </c>
      <c r="AO44" s="428"/>
      <c r="AP44" s="428"/>
    </row>
    <row r="45" spans="1:42" ht="23.25" customHeight="1">
      <c r="A45" s="1244" t="s">
        <v>223</v>
      </c>
      <c r="B45" s="1244" t="s">
        <v>224</v>
      </c>
      <c r="C45" s="1244" t="s">
        <v>225</v>
      </c>
      <c r="D45" s="1244" t="s">
        <v>1693</v>
      </c>
      <c r="E45" s="2236"/>
      <c r="F45" s="2236"/>
      <c r="G45" s="2236"/>
      <c r="H45" s="2236"/>
      <c r="I45" s="2238"/>
      <c r="J45" s="2237" t="str">
        <f>I44&amp;".1"</f>
        <v>...1.1</v>
      </c>
      <c r="K45" s="1244"/>
      <c r="L45" s="1245" t="s">
        <v>1470</v>
      </c>
      <c r="P45" s="2157"/>
      <c r="Q45" s="2157">
        <v>1</v>
      </c>
      <c r="R45" s="281"/>
      <c r="S45" s="1322" t="str">
        <f>$J45</f>
        <v>...1.1</v>
      </c>
      <c r="T45" s="204" t="s">
        <v>1471</v>
      </c>
      <c r="U45" s="218"/>
      <c r="V45" s="2224"/>
      <c r="W45" s="2225"/>
      <c r="X45" s="2225"/>
      <c r="Y45" s="2225"/>
      <c r="Z45" s="2225"/>
      <c r="AA45" s="2225"/>
      <c r="AB45" s="2226"/>
      <c r="AC45" s="2224"/>
      <c r="AD45" s="2225"/>
      <c r="AE45" s="2225"/>
      <c r="AF45" s="2225"/>
      <c r="AG45" s="2225"/>
      <c r="AH45" s="2225"/>
      <c r="AI45" s="2225"/>
      <c r="AJ45" s="2226"/>
      <c r="AK45" s="1194" t="s">
        <v>1680</v>
      </c>
      <c r="AM45" s="428"/>
      <c r="AN45" s="428" t="str">
        <f t="shared" si="1"/>
        <v>Группа потребителей</v>
      </c>
      <c r="AO45" s="428"/>
      <c r="AP45" s="428"/>
    </row>
    <row r="46" spans="1:42" ht="23.25" customHeight="1">
      <c r="A46" s="1244" t="s">
        <v>223</v>
      </c>
      <c r="B46" s="1244" t="s">
        <v>224</v>
      </c>
      <c r="C46" s="1244" t="s">
        <v>225</v>
      </c>
      <c r="D46" s="1244" t="s">
        <v>1693</v>
      </c>
      <c r="E46" s="2236"/>
      <c r="F46" s="2236"/>
      <c r="G46" s="2236"/>
      <c r="H46" s="2236"/>
      <c r="I46" s="2238"/>
      <c r="J46" s="2238"/>
      <c r="K46" s="2237" t="str">
        <f>J45&amp;".1"</f>
        <v>...1.1.1</v>
      </c>
      <c r="L46" s="1245"/>
      <c r="P46" s="2157"/>
      <c r="Q46" s="2157"/>
      <c r="R46" s="281">
        <v>1</v>
      </c>
      <c r="S46" s="1322" t="str">
        <f>$K46</f>
        <v>...1.1.1</v>
      </c>
      <c r="T46" s="1306"/>
      <c r="U46" s="218"/>
      <c r="V46" s="1667"/>
      <c r="W46" s="1667"/>
      <c r="X46" s="1669"/>
      <c r="Y46" s="2239"/>
      <c r="Z46" s="2031" t="s">
        <v>66</v>
      </c>
      <c r="AA46" s="2239"/>
      <c r="AB46" s="2031" t="s">
        <v>66</v>
      </c>
      <c r="AC46" s="1667"/>
      <c r="AD46" s="1667"/>
      <c r="AE46" s="1669"/>
      <c r="AF46" s="2239"/>
      <c r="AG46" s="2031" t="s">
        <v>66</v>
      </c>
      <c r="AH46" s="2241"/>
      <c r="AI46" s="2031" t="s">
        <v>66</v>
      </c>
      <c r="AJ46" s="1706"/>
      <c r="AK46" s="233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9" t="e">
        <f ca="1">STRCHECKDATE(V47:AJ47)</f>
        <v>#NAME?</v>
      </c>
      <c r="AM46" s="428"/>
      <c r="AN46" s="428" t="str">
        <f t="shared" si="1"/>
        <v/>
      </c>
      <c r="AO46" s="428"/>
      <c r="AP46" s="428"/>
    </row>
    <row r="47" spans="1:42" ht="0" hidden="1" customHeight="1">
      <c r="A47" s="1244" t="s">
        <v>223</v>
      </c>
      <c r="B47" s="1244" t="s">
        <v>224</v>
      </c>
      <c r="C47" s="1244" t="s">
        <v>225</v>
      </c>
      <c r="D47" s="1244" t="s">
        <v>1693</v>
      </c>
      <c r="E47" s="2236"/>
      <c r="F47" s="2236"/>
      <c r="G47" s="2236"/>
      <c r="H47" s="2236"/>
      <c r="I47" s="2238"/>
      <c r="J47" s="2238"/>
      <c r="K47" s="2237"/>
      <c r="L47" s="1245"/>
      <c r="P47" s="2157"/>
      <c r="Q47" s="2157"/>
      <c r="R47" s="281"/>
      <c r="S47" s="1321"/>
      <c r="T47" s="218"/>
      <c r="U47" s="218"/>
      <c r="V47" s="1668"/>
      <c r="W47" s="1668"/>
      <c r="X47" s="1670" t="str">
        <f>Y46&amp;"-"&amp;AA46</f>
        <v>-</v>
      </c>
      <c r="Y47" s="2240"/>
      <c r="Z47" s="2031"/>
      <c r="AA47" s="2240"/>
      <c r="AB47" s="2031"/>
      <c r="AC47" s="1668"/>
      <c r="AD47" s="1668"/>
      <c r="AE47" s="1670" t="str">
        <f>AF46&amp;"-"&amp;AH46</f>
        <v>-</v>
      </c>
      <c r="AF47" s="2240"/>
      <c r="AG47" s="2031"/>
      <c r="AH47" s="2242"/>
      <c r="AI47" s="2031"/>
      <c r="AJ47" s="1707"/>
      <c r="AK47" s="2333"/>
      <c r="AM47" s="428"/>
      <c r="AN47" s="428" t="str">
        <f t="shared" si="1"/>
        <v/>
      </c>
      <c r="AO47" s="428"/>
      <c r="AP47" s="428"/>
    </row>
    <row r="48" spans="1:42" ht="21" customHeight="1">
      <c r="A48" s="1244" t="s">
        <v>223</v>
      </c>
      <c r="B48" s="1244" t="s">
        <v>224</v>
      </c>
      <c r="C48" s="1244" t="s">
        <v>225</v>
      </c>
      <c r="D48" s="1244" t="s">
        <v>1693</v>
      </c>
      <c r="E48" s="2236"/>
      <c r="F48" s="2236"/>
      <c r="G48" s="2236"/>
      <c r="H48" s="2236"/>
      <c r="I48" s="2238"/>
      <c r="J48" s="2237"/>
      <c r="K48" s="1244"/>
      <c r="L48" s="1245"/>
      <c r="P48" s="2157"/>
      <c r="Q48" s="2157"/>
      <c r="R48" s="280"/>
      <c r="S48" s="1161"/>
      <c r="T48" s="205" t="s">
        <v>1681</v>
      </c>
      <c r="U48" s="294"/>
      <c r="V48" s="294"/>
      <c r="W48" s="294"/>
      <c r="X48" s="294"/>
      <c r="Y48" s="294"/>
      <c r="Z48" s="294"/>
      <c r="AA48" s="294"/>
      <c r="AB48" s="294"/>
      <c r="AC48" s="294"/>
      <c r="AD48" s="294"/>
      <c r="AE48" s="294"/>
      <c r="AF48" s="294"/>
      <c r="AG48" s="294"/>
      <c r="AH48" s="294"/>
      <c r="AI48" s="294"/>
      <c r="AJ48" s="294"/>
      <c r="AK48" s="1140" t="s">
        <v>1682</v>
      </c>
      <c r="AM48" s="428"/>
      <c r="AN48" s="428" t="str">
        <f t="shared" si="1"/>
        <v>Добавить значение признака дифференциации</v>
      </c>
      <c r="AO48" s="428"/>
      <c r="AP48" s="428"/>
    </row>
    <row r="49" spans="1:42" ht="21" customHeight="1">
      <c r="A49" s="1244" t="s">
        <v>223</v>
      </c>
      <c r="B49" s="1244" t="s">
        <v>224</v>
      </c>
      <c r="C49" s="1244" t="s">
        <v>225</v>
      </c>
      <c r="D49" s="1244" t="s">
        <v>1693</v>
      </c>
      <c r="E49" s="2236"/>
      <c r="F49" s="2236"/>
      <c r="G49" s="2236"/>
      <c r="H49" s="2236"/>
      <c r="I49" s="2237"/>
      <c r="J49" s="1244"/>
      <c r="K49" s="1244"/>
      <c r="L49" s="1245"/>
      <c r="P49" s="2157"/>
      <c r="Q49" s="1315"/>
      <c r="R49" s="280"/>
      <c r="S49" s="1161"/>
      <c r="T49" s="291" t="s">
        <v>1476</v>
      </c>
      <c r="U49" s="294"/>
      <c r="V49" s="294"/>
      <c r="W49" s="294"/>
      <c r="X49" s="294"/>
      <c r="Y49" s="294"/>
      <c r="Z49" s="294"/>
      <c r="AA49" s="294"/>
      <c r="AB49" s="293"/>
      <c r="AC49" s="294"/>
      <c r="AD49" s="294"/>
      <c r="AE49" s="294"/>
      <c r="AF49" s="294"/>
      <c r="AG49" s="294"/>
      <c r="AH49" s="294"/>
      <c r="AI49" s="293"/>
      <c r="AJ49" s="294"/>
      <c r="AK49" s="1307"/>
      <c r="AM49" s="428"/>
      <c r="AN49" s="428" t="str">
        <f t="shared" si="1"/>
        <v>Добавить группу потребителей</v>
      </c>
      <c r="AO49" s="428"/>
      <c r="AP49" s="428"/>
    </row>
    <row r="50" spans="1:42" ht="21" customHeight="1">
      <c r="A50" s="1244" t="s">
        <v>223</v>
      </c>
      <c r="B50" s="1244" t="s">
        <v>224</v>
      </c>
      <c r="C50" s="1244" t="s">
        <v>225</v>
      </c>
      <c r="D50" s="1244" t="s">
        <v>1693</v>
      </c>
      <c r="E50" s="2236"/>
      <c r="F50" s="2236"/>
      <c r="G50" s="2236"/>
      <c r="H50" s="2235"/>
      <c r="I50" s="1244"/>
      <c r="J50" s="1244"/>
      <c r="K50" s="1244"/>
      <c r="L50" s="1245"/>
      <c r="M50" s="1246"/>
      <c r="N50" s="1246"/>
      <c r="O50" s="464"/>
      <c r="P50" s="284"/>
      <c r="Q50" s="303"/>
      <c r="R50" s="279"/>
      <c r="S50" s="1161"/>
      <c r="T50" s="299" t="s">
        <v>1683</v>
      </c>
      <c r="U50" s="294"/>
      <c r="V50" s="294"/>
      <c r="W50" s="294"/>
      <c r="X50" s="294"/>
      <c r="Y50" s="294"/>
      <c r="Z50" s="294"/>
      <c r="AA50" s="294"/>
      <c r="AB50" s="293"/>
      <c r="AC50" s="294"/>
      <c r="AD50" s="294"/>
      <c r="AE50" s="294"/>
      <c r="AF50" s="294"/>
      <c r="AG50" s="294"/>
      <c r="AH50" s="294"/>
      <c r="AI50" s="293"/>
      <c r="AJ50" s="294"/>
      <c r="AK50" s="221"/>
      <c r="AM50" s="428"/>
      <c r="AN50" s="428" t="str">
        <f t="shared" si="1"/>
        <v>Добавить наименование признака дифференциации</v>
      </c>
      <c r="AO50" s="428"/>
      <c r="AP50" s="428"/>
    </row>
    <row r="51" spans="1:42" s="1772" customFormat="1" ht="0.75" customHeight="1">
      <c r="A51" s="1228" t="s">
        <v>223</v>
      </c>
      <c r="B51" s="1228" t="s">
        <v>224</v>
      </c>
      <c r="C51" s="1200"/>
      <c r="D51" s="1200"/>
      <c r="E51" s="2236"/>
      <c r="F51" s="2235"/>
      <c r="G51" s="1200"/>
      <c r="H51" s="1200"/>
      <c r="I51" s="1200"/>
      <c r="J51" s="1200"/>
      <c r="K51" s="1200"/>
      <c r="L51" s="1323"/>
      <c r="M51" s="1207"/>
      <c r="N51" s="1207"/>
      <c r="P51" s="1202"/>
      <c r="Q51" s="1203"/>
      <c r="R51" s="1202"/>
      <c r="S51" s="1208"/>
      <c r="T51" s="1211" t="s">
        <v>1437</v>
      </c>
      <c r="U51" s="1210"/>
      <c r="V51" s="1210"/>
      <c r="W51" s="1210"/>
      <c r="X51" s="1210"/>
      <c r="Y51" s="1210"/>
      <c r="Z51" s="1210"/>
      <c r="AA51" s="1210"/>
      <c r="AB51" s="1210"/>
      <c r="AC51" s="1210"/>
      <c r="AD51" s="1210"/>
      <c r="AE51" s="1210"/>
      <c r="AF51" s="1210"/>
      <c r="AG51" s="1210"/>
      <c r="AH51" s="1210"/>
      <c r="AI51" s="1210"/>
      <c r="AJ51" s="1210"/>
      <c r="AK51" s="1210"/>
      <c r="AM51" s="696"/>
      <c r="AN51" s="696" t="str">
        <f t="shared" si="1"/>
        <v>Добавить централизованную систему для дифференциации</v>
      </c>
      <c r="AO51" s="696"/>
      <c r="AP51" s="696"/>
    </row>
    <row r="52" spans="1:42" s="1772" customFormat="1" ht="0.75" customHeight="1">
      <c r="A52" s="1228" t="s">
        <v>223</v>
      </c>
      <c r="B52" s="1228"/>
      <c r="C52" s="1228"/>
      <c r="D52" s="1228"/>
      <c r="E52" s="2235"/>
      <c r="F52" s="1228"/>
      <c r="G52" s="1228"/>
      <c r="H52" s="1228"/>
      <c r="I52" s="1228"/>
      <c r="J52" s="1228"/>
      <c r="K52" s="1228"/>
      <c r="L52" s="1231"/>
      <c r="M52" s="1207"/>
      <c r="N52" s="1207"/>
      <c r="O52" s="446"/>
      <c r="P52" s="311"/>
      <c r="Q52" s="1229"/>
      <c r="R52" s="311"/>
      <c r="S52" s="1208"/>
      <c r="T52" s="1211" t="s">
        <v>1438</v>
      </c>
      <c r="U52" s="1210"/>
      <c r="V52" s="1210"/>
      <c r="W52" s="1210"/>
      <c r="X52" s="1210"/>
      <c r="Y52" s="1210"/>
      <c r="Z52" s="1210"/>
      <c r="AA52" s="1210"/>
      <c r="AB52" s="1210"/>
      <c r="AC52" s="1210"/>
      <c r="AD52" s="1210"/>
      <c r="AE52" s="1210"/>
      <c r="AF52" s="1210"/>
      <c r="AG52" s="1210"/>
      <c r="AH52" s="1210"/>
      <c r="AI52" s="1210"/>
      <c r="AJ52" s="1210"/>
      <c r="AK52" s="1210"/>
      <c r="AM52" s="428"/>
      <c r="AN52" s="428" t="str">
        <f t="shared" si="1"/>
        <v>Добавить территорию для дифференциации</v>
      </c>
      <c r="AO52" s="428"/>
      <c r="AP52" s="428"/>
    </row>
    <row r="53" spans="1:42" s="1772" customFormat="1" ht="0.75" customHeight="1">
      <c r="A53" s="1200"/>
      <c r="B53" s="1200"/>
      <c r="C53" s="1200"/>
      <c r="D53" s="1200"/>
      <c r="E53" s="1228"/>
      <c r="F53" s="1200"/>
      <c r="G53" s="1200"/>
      <c r="H53" s="1200"/>
      <c r="I53" s="1200"/>
      <c r="J53" s="1200"/>
      <c r="K53" s="1200"/>
      <c r="L53" s="1323"/>
      <c r="M53" s="1207"/>
      <c r="N53" s="1207"/>
      <c r="P53" s="1202"/>
      <c r="Q53" s="1203"/>
      <c r="R53" s="1202"/>
      <c r="S53" s="1208"/>
      <c r="T53" s="1211" t="s">
        <v>1439</v>
      </c>
      <c r="U53" s="1210"/>
      <c r="V53" s="1210"/>
      <c r="W53" s="1210"/>
      <c r="X53" s="1210"/>
      <c r="Y53" s="1210"/>
      <c r="Z53" s="1210"/>
      <c r="AA53" s="1210"/>
      <c r="AB53" s="1210"/>
      <c r="AC53" s="1210"/>
      <c r="AD53" s="1210"/>
      <c r="AE53" s="1210"/>
      <c r="AF53" s="1210"/>
      <c r="AG53" s="1210"/>
      <c r="AH53" s="1210"/>
      <c r="AI53" s="1210"/>
      <c r="AJ53" s="1210"/>
      <c r="AK53" s="1210"/>
      <c r="AM53" s="696"/>
      <c r="AN53" s="696" t="str">
        <f t="shared" si="1"/>
        <v>Добавить наименование тарифа</v>
      </c>
      <c r="AO53" s="696"/>
      <c r="AP53" s="696"/>
    </row>
    <row r="54" spans="1:42" ht="11.25" hidden="1" customHeight="1">
      <c r="M54" s="1036"/>
      <c r="N54" s="1036"/>
      <c r="O54" s="464"/>
      <c r="P54" s="1031"/>
      <c r="Q54" s="1031"/>
      <c r="R54" s="1031"/>
      <c r="S54" s="1031"/>
      <c r="AL54" s="1031"/>
      <c r="AM54" s="1031"/>
      <c r="AN54" s="1031"/>
      <c r="AO54" s="1031"/>
      <c r="AP54" s="1031"/>
    </row>
    <row r="55" spans="1:42" ht="14.25" hidden="1" customHeight="1">
      <c r="O55" s="464"/>
      <c r="S55" s="1128" t="s">
        <v>1509</v>
      </c>
      <c r="T55" s="2234" t="s">
        <v>1691</v>
      </c>
      <c r="U55" s="2234"/>
      <c r="V55" s="2234"/>
      <c r="W55" s="2234"/>
      <c r="X55" s="2234"/>
      <c r="Y55" s="2234"/>
      <c r="Z55" s="2234"/>
      <c r="AA55" s="2234"/>
      <c r="AB55" s="2234"/>
      <c r="AC55" s="2234"/>
      <c r="AD55" s="2234"/>
      <c r="AE55" s="2234"/>
      <c r="AF55" s="2234"/>
      <c r="AG55" s="2234"/>
      <c r="AH55" s="2234"/>
      <c r="AI55" s="2234"/>
      <c r="AJ55" s="2234"/>
      <c r="AK55" s="2234"/>
    </row>
    <row r="56" spans="1:42" ht="14.25" hidden="1" customHeight="1">
      <c r="O56" s="464"/>
    </row>
    <row r="57" spans="1:42" ht="14.25" hidden="1" customHeight="1">
      <c r="O57" s="464"/>
      <c r="S57" s="1128" t="s">
        <v>1509</v>
      </c>
      <c r="T57" s="2234" t="s">
        <v>1692</v>
      </c>
      <c r="U57" s="2234"/>
      <c r="V57" s="2234"/>
      <c r="W57" s="2234"/>
      <c r="X57" s="2234"/>
      <c r="Y57" s="2234"/>
      <c r="Z57" s="2234"/>
      <c r="AA57" s="2234"/>
      <c r="AB57" s="2234"/>
      <c r="AC57" s="2234"/>
      <c r="AD57" s="2234"/>
      <c r="AE57" s="2234"/>
      <c r="AF57" s="2234"/>
      <c r="AG57" s="2234"/>
      <c r="AH57" s="2234"/>
      <c r="AI57" s="2234"/>
      <c r="AJ57" s="2234"/>
      <c r="AK57" s="2234"/>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759" hidden="1"/>
    <col min="2" max="2" width="11" style="1759" hidden="1" customWidth="1"/>
    <col min="3" max="3" width="10.5703125" style="1759" hidden="1"/>
    <col min="4" max="4" width="11.85546875" style="1759" hidden="1" customWidth="1"/>
    <col min="5" max="5" width="10" style="1759" hidden="1" customWidth="1"/>
    <col min="6" max="6" width="8.7109375" style="1759" hidden="1" customWidth="1"/>
    <col min="7" max="7" width="7.5703125" style="1759" hidden="1" customWidth="1"/>
    <col min="8" max="8" width="11.42578125" style="1759" hidden="1" customWidth="1"/>
    <col min="9" max="9" width="14.140625" style="1759" hidden="1" customWidth="1"/>
    <col min="10" max="10" width="9.85546875" style="1759" hidden="1" customWidth="1"/>
    <col min="11" max="11" width="14.7109375" style="1759" hidden="1" customWidth="1"/>
    <col min="12" max="12" width="19.140625" style="1758" hidden="1" customWidth="1"/>
    <col min="13" max="14" width="12.28515625" style="1686" hidden="1" customWidth="1"/>
    <col min="15" max="15" width="23.42578125" style="1686" hidden="1" customWidth="1"/>
    <col min="16" max="16" width="3.7109375" style="1740" customWidth="1"/>
    <col min="17" max="18" width="3.7109375" style="1677" customWidth="1"/>
    <col min="19" max="19" width="12.7109375" style="1727" customWidth="1"/>
    <col min="20" max="20" width="35.7109375" style="1846" customWidth="1"/>
    <col min="21" max="21" width="0.140625" style="1846" customWidth="1"/>
    <col min="22" max="24" width="24.7109375" style="1846" hidden="1" customWidth="1"/>
    <col min="25" max="25" width="11.7109375" style="1846" hidden="1" customWidth="1"/>
    <col min="26" max="26" width="3.7109375" style="1846" hidden="1" customWidth="1"/>
    <col min="27" max="27" width="11.7109375" style="1846" hidden="1" customWidth="1"/>
    <col min="28" max="28" width="8.5703125" style="1846" hidden="1" customWidth="1"/>
    <col min="29" max="31" width="24.7109375" style="1846" customWidth="1"/>
    <col min="32" max="32" width="11.7109375" style="1846" customWidth="1"/>
    <col min="33" max="33" width="3.7109375" style="1846" customWidth="1"/>
    <col min="34" max="34" width="11.7109375" style="1846" customWidth="1"/>
    <col min="35" max="35" width="8.5703125" style="1846" hidden="1" customWidth="1"/>
    <col min="36" max="36" width="4.7109375" style="1846" customWidth="1"/>
    <col min="37" max="37" width="115.7109375" style="1846" customWidth="1"/>
    <col min="38" max="39" width="10.5703125" style="1772"/>
    <col min="40" max="40" width="11.140625" style="1772" customWidth="1"/>
    <col min="41" max="42" width="10.5703125" style="1772"/>
  </cols>
  <sheetData>
    <row r="1" spans="1:42" ht="14.25" hidden="1" customHeight="1">
      <c r="X1" s="254"/>
      <c r="Y1" s="254"/>
      <c r="AE1" s="254"/>
      <c r="AF1" s="254"/>
    </row>
    <row r="2" spans="1:42" ht="23.25" hidden="1" customHeight="1">
      <c r="A2" s="1244"/>
      <c r="B2" s="1244"/>
      <c r="C2" s="1244"/>
      <c r="D2" s="1244"/>
      <c r="E2" s="2235">
        <v>1</v>
      </c>
      <c r="F2" s="1244"/>
      <c r="G2" s="1244"/>
      <c r="H2" s="1244"/>
      <c r="I2" s="1244"/>
      <c r="J2" s="1244"/>
      <c r="K2" s="1244"/>
      <c r="L2" s="1245"/>
      <c r="M2" s="1246"/>
      <c r="N2" s="1246"/>
      <c r="O2" s="1246"/>
      <c r="P2" s="285"/>
      <c r="Q2" s="284"/>
      <c r="R2" s="279"/>
      <c r="S2" s="1322" t="e">
        <f>INDEX(PT_DIFFERENTIATION_NUM_NTAR,MATCH(A2,PT_DIFFERENTIATION_NTAR_ID,0))</f>
        <v>#N/A</v>
      </c>
      <c r="T2" s="216" t="s">
        <v>124</v>
      </c>
      <c r="U2" s="218"/>
      <c r="V2" s="2229"/>
      <c r="W2" s="2230"/>
      <c r="X2" s="2230"/>
      <c r="Y2" s="2230"/>
      <c r="Z2" s="2230"/>
      <c r="AA2" s="2230"/>
      <c r="AB2" s="2231"/>
      <c r="AC2" s="2229" t="e">
        <f>INDEX(PT_DIFFERENTIATION_NTAR,MATCH(A2,PT_DIFFERENTIATION_NTAR_ID,0))</f>
        <v>#N/A</v>
      </c>
      <c r="AD2" s="2230"/>
      <c r="AE2" s="2230"/>
      <c r="AF2" s="2230"/>
      <c r="AG2" s="2230"/>
      <c r="AH2" s="2230"/>
      <c r="AI2" s="2230"/>
      <c r="AJ2" s="2231"/>
      <c r="AK2" s="114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8"/>
      <c r="AN2" s="428" t="str">
        <f t="shared" ref="AN2:AN13" si="0">IF(T2="","",T2)</f>
        <v>Наименование тарифа</v>
      </c>
      <c r="AO2" s="428"/>
      <c r="AP2" s="428"/>
    </row>
    <row r="3" spans="1:42" ht="23.25" hidden="1" customHeight="1">
      <c r="A3" s="1244"/>
      <c r="B3" s="1244"/>
      <c r="C3" s="1244"/>
      <c r="D3" s="1244"/>
      <c r="E3" s="2236"/>
      <c r="F3" s="2235">
        <v>1</v>
      </c>
      <c r="G3" s="1244"/>
      <c r="H3" s="1244"/>
      <c r="I3" s="1244"/>
      <c r="J3" s="1244"/>
      <c r="K3" s="1244"/>
      <c r="L3" s="1245"/>
      <c r="M3" s="1246"/>
      <c r="N3" s="1246"/>
      <c r="O3" s="1246"/>
      <c r="P3" s="1318"/>
      <c r="Q3" s="276"/>
      <c r="R3" s="277"/>
      <c r="S3" s="1322" t="e">
        <f>INDEX(PT_DIFFERENTIATION_NUM_TER,MATCH(B3,PT_DIFFERENTIATION_TER_ID,0))</f>
        <v>#N/A</v>
      </c>
      <c r="T3" s="228" t="s">
        <v>1461</v>
      </c>
      <c r="U3" s="218"/>
      <c r="V3" s="2229"/>
      <c r="W3" s="2230"/>
      <c r="X3" s="2230"/>
      <c r="Y3" s="2230"/>
      <c r="Z3" s="2230"/>
      <c r="AA3" s="2230"/>
      <c r="AB3" s="2231"/>
      <c r="AC3" s="2229" t="e">
        <f>INDEX(PT_DIFFERENTIATION_TER,MATCH(B3,PT_DIFFERENTIATION_TER_ID,0))</f>
        <v>#N/A</v>
      </c>
      <c r="AD3" s="2230"/>
      <c r="AE3" s="2230"/>
      <c r="AF3" s="2230"/>
      <c r="AG3" s="2230"/>
      <c r="AH3" s="2230"/>
      <c r="AI3" s="2230"/>
      <c r="AJ3" s="2231"/>
      <c r="AK3" s="1140" t="s">
        <v>1462</v>
      </c>
      <c r="AM3" s="428"/>
      <c r="AN3" s="428" t="str">
        <f t="shared" si="0"/>
        <v>Территория действия тарифа</v>
      </c>
      <c r="AO3" s="428"/>
      <c r="AP3" s="428"/>
    </row>
    <row r="4" spans="1:42" ht="23.25" hidden="1" customHeight="1">
      <c r="A4" s="1244"/>
      <c r="B4" s="1244"/>
      <c r="C4" s="1244"/>
      <c r="D4" s="1244"/>
      <c r="E4" s="2236"/>
      <c r="F4" s="2236"/>
      <c r="G4" s="2235">
        <v>1</v>
      </c>
      <c r="H4" s="1244"/>
      <c r="I4" s="1244"/>
      <c r="J4" s="1244"/>
      <c r="K4" s="1244"/>
      <c r="L4" s="1245"/>
      <c r="M4" s="1246"/>
      <c r="N4" s="1246"/>
      <c r="O4" s="1246"/>
      <c r="P4" s="278"/>
      <c r="Q4" s="276"/>
      <c r="R4" s="277"/>
      <c r="S4" s="1322" t="e">
        <f>INDEX(PT_DIFFERENTIATION_NUM_CS,MATCH(C4,PT_DIFFERENTIATION_CS_ID,0))</f>
        <v>#N/A</v>
      </c>
      <c r="T4" s="229" t="s">
        <v>1676</v>
      </c>
      <c r="U4" s="218"/>
      <c r="V4" s="2229"/>
      <c r="W4" s="2230"/>
      <c r="X4" s="2230"/>
      <c r="Y4" s="2230"/>
      <c r="Z4" s="2230"/>
      <c r="AA4" s="2230"/>
      <c r="AB4" s="2231"/>
      <c r="AC4" s="2229" t="e">
        <f>INDEX(PT_DIFFERENTIATION_CS,MATCH(C4,PT_DIFFERENTIATION_CS_ID,0))</f>
        <v>#N/A</v>
      </c>
      <c r="AD4" s="2230"/>
      <c r="AE4" s="2230"/>
      <c r="AF4" s="2230"/>
      <c r="AG4" s="2230"/>
      <c r="AH4" s="2230"/>
      <c r="AI4" s="2230"/>
      <c r="AJ4" s="2231"/>
      <c r="AK4" s="1140" t="s">
        <v>1677</v>
      </c>
      <c r="AM4" s="428"/>
      <c r="AN4" s="428" t="str">
        <f t="shared" si="0"/>
        <v>Наименование централизованной системы холодного водоснабжения</v>
      </c>
      <c r="AO4" s="428"/>
      <c r="AP4" s="428"/>
    </row>
    <row r="5" spans="1:42" ht="23.25" hidden="1" customHeight="1">
      <c r="A5" s="1244"/>
      <c r="B5" s="1244"/>
      <c r="C5" s="1244"/>
      <c r="D5" s="1244"/>
      <c r="E5" s="2236"/>
      <c r="F5" s="2236"/>
      <c r="G5" s="2236"/>
      <c r="H5" s="2236"/>
      <c r="I5" s="2237" t="e">
        <f>S4&amp;".1"</f>
        <v>#N/A</v>
      </c>
      <c r="J5" s="1244"/>
      <c r="K5" s="1244"/>
      <c r="L5" s="1245"/>
      <c r="P5" s="2157">
        <v>1</v>
      </c>
      <c r="Q5" s="1315"/>
      <c r="R5" s="280"/>
      <c r="S5" s="1322" t="e">
        <f>$I5</f>
        <v>#N/A</v>
      </c>
      <c r="T5" s="203" t="s">
        <v>1678</v>
      </c>
      <c r="U5" s="218"/>
      <c r="V5" s="2327"/>
      <c r="W5" s="2328"/>
      <c r="X5" s="2328"/>
      <c r="Y5" s="2328"/>
      <c r="Z5" s="2328"/>
      <c r="AA5" s="2328"/>
      <c r="AB5" s="2329"/>
      <c r="AC5" s="2330"/>
      <c r="AD5" s="2331"/>
      <c r="AE5" s="2331"/>
      <c r="AF5" s="2331"/>
      <c r="AG5" s="2331"/>
      <c r="AH5" s="2331"/>
      <c r="AI5" s="2331"/>
      <c r="AJ5" s="2332"/>
      <c r="AK5" s="1140" t="s">
        <v>1679</v>
      </c>
      <c r="AM5" s="428"/>
      <c r="AN5" s="428" t="str">
        <f t="shared" si="0"/>
        <v>Наименование признака дифференциации</v>
      </c>
      <c r="AO5" s="428"/>
      <c r="AP5" s="428"/>
    </row>
    <row r="6" spans="1:42" ht="23.25" hidden="1" customHeight="1">
      <c r="A6" s="1244"/>
      <c r="B6" s="1244"/>
      <c r="C6" s="1244"/>
      <c r="D6" s="1244"/>
      <c r="E6" s="2236"/>
      <c r="F6" s="2236"/>
      <c r="G6" s="2236"/>
      <c r="H6" s="2236"/>
      <c r="I6" s="2238"/>
      <c r="J6" s="2237" t="e">
        <f>I5&amp;".1"</f>
        <v>#N/A</v>
      </c>
      <c r="K6" s="1244"/>
      <c r="L6" s="1245" t="s">
        <v>1470</v>
      </c>
      <c r="P6" s="2157"/>
      <c r="Q6" s="2157">
        <v>1</v>
      </c>
      <c r="R6" s="281"/>
      <c r="S6" s="1322" t="e">
        <f>$J6</f>
        <v>#N/A</v>
      </c>
      <c r="T6" s="204" t="s">
        <v>1471</v>
      </c>
      <c r="U6" s="218"/>
      <c r="V6" s="2224"/>
      <c r="W6" s="2225"/>
      <c r="X6" s="2225"/>
      <c r="Y6" s="2225"/>
      <c r="Z6" s="2225"/>
      <c r="AA6" s="2225"/>
      <c r="AB6" s="2226"/>
      <c r="AC6" s="2224"/>
      <c r="AD6" s="2225"/>
      <c r="AE6" s="2225"/>
      <c r="AF6" s="2225"/>
      <c r="AG6" s="2225"/>
      <c r="AH6" s="2225"/>
      <c r="AI6" s="2225"/>
      <c r="AJ6" s="2226"/>
      <c r="AK6" s="1194" t="s">
        <v>1680</v>
      </c>
      <c r="AM6" s="428"/>
      <c r="AN6" s="428" t="str">
        <f t="shared" si="0"/>
        <v>Группа потребителей</v>
      </c>
      <c r="AO6" s="428"/>
      <c r="AP6" s="428"/>
    </row>
    <row r="7" spans="1:42" ht="23.25" hidden="1" customHeight="1">
      <c r="A7" s="1244"/>
      <c r="B7" s="1244"/>
      <c r="C7" s="1244"/>
      <c r="D7" s="1244"/>
      <c r="E7" s="2236"/>
      <c r="F7" s="2236"/>
      <c r="G7" s="2236"/>
      <c r="H7" s="2236"/>
      <c r="I7" s="2238"/>
      <c r="J7" s="2238"/>
      <c r="K7" s="2237" t="e">
        <f>J6&amp;".1"</f>
        <v>#N/A</v>
      </c>
      <c r="L7" s="1245"/>
      <c r="P7" s="2157"/>
      <c r="Q7" s="2157"/>
      <c r="R7" s="281">
        <v>1</v>
      </c>
      <c r="S7" s="1322" t="e">
        <f>$K7</f>
        <v>#N/A</v>
      </c>
      <c r="T7" s="1306"/>
      <c r="U7" s="218"/>
      <c r="V7" s="1667"/>
      <c r="W7" s="1667"/>
      <c r="X7" s="1669"/>
      <c r="Y7" s="2239"/>
      <c r="Z7" s="2031" t="s">
        <v>66</v>
      </c>
      <c r="AA7" s="2239"/>
      <c r="AB7" s="2031" t="s">
        <v>66</v>
      </c>
      <c r="AC7" s="1667"/>
      <c r="AD7" s="1667"/>
      <c r="AE7" s="1669"/>
      <c r="AF7" s="2239"/>
      <c r="AG7" s="2031" t="s">
        <v>66</v>
      </c>
      <c r="AH7" s="2241"/>
      <c r="AI7" s="2031" t="s">
        <v>66</v>
      </c>
      <c r="AJ7" s="1706"/>
      <c r="AK7" s="233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9" t="e">
        <f ca="1">STRCHECKDATE(V8:AJ8)</f>
        <v>#NAME?</v>
      </c>
      <c r="AM7" s="428"/>
      <c r="AN7" s="428" t="str">
        <f t="shared" si="0"/>
        <v/>
      </c>
      <c r="AO7" s="428"/>
      <c r="AP7" s="428"/>
    </row>
    <row r="8" spans="1:42" ht="0.75" hidden="1" customHeight="1">
      <c r="A8" s="1244"/>
      <c r="B8" s="1244"/>
      <c r="C8" s="1244"/>
      <c r="D8" s="1244"/>
      <c r="E8" s="2236"/>
      <c r="F8" s="2236"/>
      <c r="G8" s="2236"/>
      <c r="H8" s="2236"/>
      <c r="I8" s="2238"/>
      <c r="J8" s="2238"/>
      <c r="K8" s="2237"/>
      <c r="L8" s="1245"/>
      <c r="P8" s="2157"/>
      <c r="Q8" s="2157"/>
      <c r="R8" s="281"/>
      <c r="S8" s="1321"/>
      <c r="T8" s="218"/>
      <c r="U8" s="218"/>
      <c r="V8" s="1668"/>
      <c r="W8" s="1668"/>
      <c r="X8" s="1670" t="str">
        <f>Y7&amp;"-"&amp;AA7</f>
        <v>-</v>
      </c>
      <c r="Y8" s="2240"/>
      <c r="Z8" s="2031"/>
      <c r="AA8" s="2240"/>
      <c r="AB8" s="2031"/>
      <c r="AC8" s="1668"/>
      <c r="AD8" s="1668"/>
      <c r="AE8" s="1670" t="str">
        <f>AF7&amp;"-"&amp;AH7</f>
        <v>-</v>
      </c>
      <c r="AF8" s="2240"/>
      <c r="AG8" s="2031"/>
      <c r="AH8" s="2242"/>
      <c r="AI8" s="2031"/>
      <c r="AJ8" s="1707"/>
      <c r="AK8" s="2333"/>
      <c r="AM8" s="428"/>
      <c r="AN8" s="428" t="str">
        <f t="shared" si="0"/>
        <v/>
      </c>
      <c r="AO8" s="428"/>
      <c r="AP8" s="428"/>
    </row>
    <row r="9" spans="1:42" ht="21" hidden="1" customHeight="1">
      <c r="A9" s="1244"/>
      <c r="B9" s="1244"/>
      <c r="C9" s="1244"/>
      <c r="D9" s="1244"/>
      <c r="E9" s="2236"/>
      <c r="F9" s="2236"/>
      <c r="G9" s="2236"/>
      <c r="H9" s="2236"/>
      <c r="I9" s="2238"/>
      <c r="J9" s="2237"/>
      <c r="K9" s="1244"/>
      <c r="L9" s="1245"/>
      <c r="P9" s="2157"/>
      <c r="Q9" s="2157"/>
      <c r="R9" s="280"/>
      <c r="S9" s="1161"/>
      <c r="T9" s="205" t="s">
        <v>1681</v>
      </c>
      <c r="U9" s="294"/>
      <c r="V9" s="294"/>
      <c r="W9" s="294"/>
      <c r="X9" s="294"/>
      <c r="Y9" s="294"/>
      <c r="Z9" s="294"/>
      <c r="AA9" s="294"/>
      <c r="AB9" s="294"/>
      <c r="AC9" s="294"/>
      <c r="AD9" s="294"/>
      <c r="AE9" s="294"/>
      <c r="AF9" s="294"/>
      <c r="AG9" s="294"/>
      <c r="AH9" s="294"/>
      <c r="AI9" s="294"/>
      <c r="AJ9" s="294"/>
      <c r="AK9" s="1140" t="s">
        <v>1682</v>
      </c>
      <c r="AM9" s="428"/>
      <c r="AN9" s="428" t="str">
        <f t="shared" si="0"/>
        <v>Добавить значение признака дифференциации</v>
      </c>
      <c r="AO9" s="428"/>
      <c r="AP9" s="428"/>
    </row>
    <row r="10" spans="1:42" ht="21" hidden="1" customHeight="1">
      <c r="A10" s="1244"/>
      <c r="B10" s="1244"/>
      <c r="C10" s="1244"/>
      <c r="D10" s="1244"/>
      <c r="E10" s="2236"/>
      <c r="F10" s="2236"/>
      <c r="G10" s="2236"/>
      <c r="H10" s="2236"/>
      <c r="I10" s="2237"/>
      <c r="J10" s="1244"/>
      <c r="K10" s="1244"/>
      <c r="L10" s="1245"/>
      <c r="P10" s="2157"/>
      <c r="Q10" s="1315"/>
      <c r="R10" s="280"/>
      <c r="S10" s="1161"/>
      <c r="T10" s="291" t="s">
        <v>1476</v>
      </c>
      <c r="U10" s="294"/>
      <c r="V10" s="294"/>
      <c r="W10" s="294"/>
      <c r="X10" s="294"/>
      <c r="Y10" s="294"/>
      <c r="Z10" s="294"/>
      <c r="AA10" s="294"/>
      <c r="AB10" s="293"/>
      <c r="AC10" s="294"/>
      <c r="AD10" s="294"/>
      <c r="AE10" s="294"/>
      <c r="AF10" s="294"/>
      <c r="AG10" s="294"/>
      <c r="AH10" s="294"/>
      <c r="AI10" s="293"/>
      <c r="AJ10" s="294"/>
      <c r="AK10" s="1307"/>
      <c r="AM10" s="428"/>
      <c r="AN10" s="428" t="str">
        <f t="shared" si="0"/>
        <v>Добавить группу потребителей</v>
      </c>
      <c r="AO10" s="428"/>
      <c r="AP10" s="428"/>
    </row>
    <row r="11" spans="1:42" ht="21" hidden="1" customHeight="1">
      <c r="A11" s="1244"/>
      <c r="B11" s="1244"/>
      <c r="C11" s="1244"/>
      <c r="D11" s="1244"/>
      <c r="E11" s="2236"/>
      <c r="F11" s="2236"/>
      <c r="G11" s="2236"/>
      <c r="H11" s="2235"/>
      <c r="I11" s="1244"/>
      <c r="J11" s="1244"/>
      <c r="K11" s="1244"/>
      <c r="L11" s="1245"/>
      <c r="M11" s="1246"/>
      <c r="N11" s="1246"/>
      <c r="O11" s="464"/>
      <c r="P11" s="284"/>
      <c r="Q11" s="303"/>
      <c r="R11" s="279"/>
      <c r="S11" s="1161"/>
      <c r="T11" s="299" t="s">
        <v>1683</v>
      </c>
      <c r="U11" s="294"/>
      <c r="V11" s="294"/>
      <c r="W11" s="294"/>
      <c r="X11" s="294"/>
      <c r="Y11" s="294"/>
      <c r="Z11" s="294"/>
      <c r="AA11" s="294"/>
      <c r="AB11" s="293"/>
      <c r="AC11" s="294"/>
      <c r="AD11" s="294"/>
      <c r="AE11" s="294"/>
      <c r="AF11" s="294"/>
      <c r="AG11" s="294"/>
      <c r="AH11" s="294"/>
      <c r="AI11" s="293"/>
      <c r="AJ11" s="294"/>
      <c r="AK11" s="221"/>
      <c r="AM11" s="428"/>
      <c r="AN11" s="428" t="str">
        <f t="shared" si="0"/>
        <v>Добавить наименование признака дифференциации</v>
      </c>
      <c r="AO11" s="428"/>
      <c r="AP11" s="428"/>
    </row>
    <row r="12" spans="1:42" s="1772" customFormat="1" ht="0.75" hidden="1" customHeight="1">
      <c r="A12" s="1228"/>
      <c r="B12" s="1228"/>
      <c r="C12" s="1200"/>
      <c r="D12" s="1200"/>
      <c r="E12" s="2236"/>
      <c r="F12" s="2235"/>
      <c r="G12" s="1200"/>
      <c r="H12" s="1200"/>
      <c r="I12" s="1200"/>
      <c r="J12" s="1200"/>
      <c r="K12" s="1200"/>
      <c r="L12" s="1323"/>
      <c r="M12" s="1207"/>
      <c r="N12" s="1207"/>
      <c r="P12" s="1202"/>
      <c r="Q12" s="1203"/>
      <c r="R12" s="1202"/>
      <c r="S12" s="1208"/>
      <c r="T12" s="1211" t="s">
        <v>1437</v>
      </c>
      <c r="U12" s="1210"/>
      <c r="V12" s="1210"/>
      <c r="W12" s="1210"/>
      <c r="X12" s="1210"/>
      <c r="Y12" s="1210"/>
      <c r="Z12" s="1210"/>
      <c r="AA12" s="1210"/>
      <c r="AB12" s="1210"/>
      <c r="AC12" s="1210"/>
      <c r="AD12" s="1210"/>
      <c r="AE12" s="1210"/>
      <c r="AF12" s="1210"/>
      <c r="AG12" s="1210"/>
      <c r="AH12" s="1210"/>
      <c r="AI12" s="1210"/>
      <c r="AJ12" s="1210"/>
      <c r="AK12" s="1210"/>
      <c r="AM12" s="696"/>
      <c r="AN12" s="696" t="str">
        <f t="shared" si="0"/>
        <v>Добавить централизованную систему для дифференциации</v>
      </c>
      <c r="AO12" s="696"/>
      <c r="AP12" s="696"/>
    </row>
    <row r="13" spans="1:42" s="1772" customFormat="1" ht="0.75" hidden="1" customHeight="1">
      <c r="A13" s="1228"/>
      <c r="B13" s="1228"/>
      <c r="C13" s="1228"/>
      <c r="D13" s="1228"/>
      <c r="E13" s="2235"/>
      <c r="F13" s="1228"/>
      <c r="G13" s="1228"/>
      <c r="H13" s="1228"/>
      <c r="I13" s="1228"/>
      <c r="J13" s="1228"/>
      <c r="K13" s="1228"/>
      <c r="L13" s="1231"/>
      <c r="M13" s="1207"/>
      <c r="N13" s="1207"/>
      <c r="O13" s="446"/>
      <c r="P13" s="311"/>
      <c r="Q13" s="1229"/>
      <c r="R13" s="311"/>
      <c r="S13" s="1208"/>
      <c r="T13" s="1211" t="s">
        <v>1438</v>
      </c>
      <c r="U13" s="1210"/>
      <c r="V13" s="1210"/>
      <c r="W13" s="1210"/>
      <c r="X13" s="1210"/>
      <c r="Y13" s="1210"/>
      <c r="Z13" s="1210"/>
      <c r="AA13" s="1210"/>
      <c r="AB13" s="1210"/>
      <c r="AC13" s="1210"/>
      <c r="AD13" s="1210"/>
      <c r="AE13" s="1210"/>
      <c r="AF13" s="1210"/>
      <c r="AG13" s="1210"/>
      <c r="AH13" s="1210"/>
      <c r="AI13" s="1210"/>
      <c r="AJ13" s="1210"/>
      <c r="AK13" s="1210"/>
      <c r="AM13" s="428"/>
      <c r="AN13" s="428" t="str">
        <f t="shared" si="0"/>
        <v>Добавить территорию для дифференциации</v>
      </c>
      <c r="AO13" s="428"/>
      <c r="AP13" s="428"/>
    </row>
    <row r="14" spans="1:42" ht="14.25" hidden="1" customHeight="1">
      <c r="AB14" s="254"/>
      <c r="AI14" s="254"/>
    </row>
    <row r="15" spans="1:42" ht="14.25" hidden="1" customHeight="1">
      <c r="AC15" s="1671"/>
      <c r="AD15" s="1671"/>
      <c r="AE15" s="1672"/>
      <c r="AF15" s="2233"/>
      <c r="AG15" s="2232" t="s">
        <v>66</v>
      </c>
      <c r="AH15" s="2233"/>
      <c r="AI15" s="2232" t="s">
        <v>66</v>
      </c>
    </row>
    <row r="16" spans="1:42" ht="14.25" hidden="1" customHeight="1">
      <c r="AC16" s="1671"/>
      <c r="AD16" s="1671"/>
      <c r="AE16" s="1670" t="str">
        <f>AF15&amp;"-"&amp;AH15</f>
        <v>-</v>
      </c>
      <c r="AF16" s="2232"/>
      <c r="AG16" s="2232"/>
      <c r="AH16" s="2232"/>
      <c r="AI16" s="2232"/>
    </row>
    <row r="17" spans="1:42" ht="14.25" hidden="1" customHeight="1">
      <c r="AI17" s="254"/>
    </row>
    <row r="18" spans="1:42" s="1759" customFormat="1" ht="22.5" hidden="1" customHeight="1">
      <c r="L18" s="1312"/>
      <c r="M18" s="1243"/>
      <c r="N18" s="1243"/>
      <c r="O18" s="1248" t="s">
        <v>1478</v>
      </c>
      <c r="P18" s="1243"/>
      <c r="Q18" s="1252"/>
      <c r="R18" s="1252"/>
      <c r="S18" s="644"/>
      <c r="Y18" s="1248"/>
      <c r="AA18" s="1248"/>
      <c r="AB18" s="1247"/>
      <c r="AF18" s="1248"/>
      <c r="AH18" s="1248"/>
      <c r="AI18" s="1247"/>
      <c r="AL18" s="439"/>
      <c r="AM18" s="439"/>
      <c r="AN18" s="439"/>
      <c r="AO18" s="439"/>
      <c r="AP18" s="439"/>
    </row>
    <row r="19" spans="1:42" s="1759" customFormat="1" ht="14.25" hidden="1" customHeight="1">
      <c r="L19" s="1312"/>
      <c r="M19" s="1243"/>
      <c r="N19" s="1243"/>
      <c r="O19" s="1243"/>
      <c r="P19" s="1243"/>
      <c r="Q19" s="1252"/>
      <c r="R19" s="1252"/>
      <c r="S19" s="644"/>
      <c r="AB19" s="1247"/>
      <c r="AI19" s="1247"/>
      <c r="AL19" s="439"/>
      <c r="AM19" s="439"/>
      <c r="AN19" s="439"/>
      <c r="AO19" s="439"/>
      <c r="AP19" s="439"/>
    </row>
    <row r="20" spans="1:42" s="1759" customFormat="1" ht="12" hidden="1" customHeight="1">
      <c r="L20" s="1312"/>
      <c r="M20" s="1243"/>
      <c r="N20" s="1243"/>
      <c r="O20" s="1245" t="s">
        <v>1479</v>
      </c>
      <c r="P20" s="1243"/>
      <c r="Q20" s="1308"/>
      <c r="R20" s="1308"/>
      <c r="S20" s="644"/>
      <c r="T20" s="1036" t="s">
        <v>1480</v>
      </c>
      <c r="Z20" s="111" t="s">
        <v>1481</v>
      </c>
      <c r="AB20" s="111" t="s">
        <v>1482</v>
      </c>
      <c r="AC20" s="1036" t="s">
        <v>1480</v>
      </c>
      <c r="AG20" s="111" t="s">
        <v>1483</v>
      </c>
      <c r="AI20" s="111" t="s">
        <v>1482</v>
      </c>
    </row>
    <row r="21" spans="1:42" ht="14.25" hidden="1" customHeight="1">
      <c r="O21" s="1245"/>
    </row>
    <row r="22" spans="1:42" ht="14.25" hidden="1" customHeight="1">
      <c r="O22" s="1245"/>
    </row>
    <row r="23" spans="1:42" ht="14.25" customHeight="1">
      <c r="Q23" s="304"/>
      <c r="R23" s="304"/>
      <c r="S23" s="1158"/>
      <c r="T23" s="289"/>
      <c r="U23" s="289"/>
      <c r="V23" s="437"/>
      <c r="W23" s="437"/>
      <c r="X23" s="437"/>
      <c r="Y23" s="437"/>
      <c r="Z23" s="437"/>
      <c r="AA23" s="437"/>
      <c r="AB23" s="437"/>
      <c r="AC23" s="437"/>
      <c r="AD23" s="437"/>
      <c r="AE23" s="437"/>
      <c r="AF23" s="437"/>
      <c r="AG23" s="437"/>
      <c r="AH23" s="437"/>
      <c r="AI23" s="437"/>
    </row>
    <row r="24" spans="1:42" ht="32.25" customHeight="1">
      <c r="Q24" s="304"/>
      <c r="R24" s="304"/>
      <c r="S24" s="2079"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079"/>
      <c r="U24" s="2079"/>
      <c r="V24" s="2079"/>
      <c r="W24" s="2079"/>
      <c r="X24" s="2079"/>
      <c r="Y24" s="2079"/>
      <c r="Z24" s="2079"/>
      <c r="AA24" s="2079"/>
      <c r="AB24" s="2079"/>
      <c r="AC24" s="2079"/>
      <c r="AD24" s="2079"/>
      <c r="AE24" s="2079"/>
      <c r="AF24" s="2079"/>
      <c r="AG24" s="2079"/>
      <c r="AH24" s="2079"/>
      <c r="AI24" s="1116"/>
    </row>
    <row r="25" spans="1:42" ht="14.25" customHeight="1">
      <c r="Q25" s="304"/>
      <c r="R25" s="304"/>
      <c r="S25" s="2102" t="str">
        <f>IF(org=0,"Не определено",org)</f>
        <v>ООО "Автозаводская ТЭЦ"</v>
      </c>
      <c r="T25" s="2102"/>
      <c r="U25" s="2102"/>
      <c r="V25" s="2102"/>
      <c r="W25" s="2102"/>
      <c r="X25" s="2102"/>
      <c r="Y25" s="2102"/>
      <c r="Z25" s="2102"/>
      <c r="AA25" s="2102"/>
      <c r="AB25" s="2102"/>
      <c r="AC25" s="2102"/>
      <c r="AD25" s="2102"/>
      <c r="AE25" s="2102"/>
      <c r="AF25" s="2102"/>
      <c r="AG25" s="2102"/>
      <c r="AH25" s="2102"/>
      <c r="AI25" s="1116"/>
    </row>
    <row r="26" spans="1:42" ht="14.25" hidden="1" customHeight="1">
      <c r="Q26" s="304"/>
      <c r="R26" s="304"/>
      <c r="S26" s="1158"/>
      <c r="T26" s="289"/>
      <c r="U26" s="289"/>
      <c r="V26" s="248"/>
      <c r="W26" s="248"/>
      <c r="X26" s="248"/>
      <c r="Y26" s="248"/>
      <c r="Z26" s="248"/>
      <c r="AA26" s="248"/>
      <c r="AB26" s="248"/>
      <c r="AC26" s="248"/>
      <c r="AD26" s="248"/>
      <c r="AE26" s="248"/>
      <c r="AF26" s="248"/>
      <c r="AG26" s="248"/>
      <c r="AH26" s="248"/>
      <c r="AI26" s="248"/>
      <c r="AJ26" s="437"/>
    </row>
    <row r="27" spans="1:42" s="1950" customFormat="1" ht="25.5" hidden="1" customHeight="1">
      <c r="A27" s="1249"/>
      <c r="B27" s="1249"/>
      <c r="C27" s="1249"/>
      <c r="D27" s="1249"/>
      <c r="E27" s="1249"/>
      <c r="F27" s="1249"/>
      <c r="G27" s="1249"/>
      <c r="H27" s="1249"/>
      <c r="I27" s="1249"/>
      <c r="J27" s="1249"/>
      <c r="K27" s="1249"/>
      <c r="L27" s="1250"/>
      <c r="M27" s="1249"/>
      <c r="N27" s="1249"/>
      <c r="O27" s="1249"/>
      <c r="S27" s="2227" t="s">
        <v>38</v>
      </c>
      <c r="T27" s="2227"/>
      <c r="U27" s="1253"/>
      <c r="V27" s="2228" t="str">
        <f>IF(TITLE_NAME_OR_PR_CHANGE="",IF(TITLE_NAME_OR_PR="","",TITLE_NAME_OR_PR),TITLE_NAME_OR_PR_CHANGE)</f>
        <v/>
      </c>
      <c r="W27" s="2228"/>
      <c r="X27" s="2228"/>
      <c r="Y27" s="2228"/>
      <c r="Z27" s="2228"/>
      <c r="AA27" s="2228"/>
      <c r="AB27" s="253"/>
      <c r="AC27" s="2228" t="str">
        <f>IF(TITLE_NAME_OR_PR_CHANGE="",IF(TITLE_NAME_OR_PR="","",TITLE_NAME_OR_PR),TITLE_NAME_OR_PR_CHANGE)</f>
        <v/>
      </c>
      <c r="AD27" s="2228"/>
      <c r="AE27" s="2228"/>
      <c r="AF27" s="2228"/>
      <c r="AG27" s="2228"/>
      <c r="AH27" s="2228"/>
      <c r="AI27" s="253"/>
      <c r="AJ27" s="253"/>
      <c r="AK27" s="199"/>
      <c r="AL27" s="295"/>
      <c r="AM27" s="295"/>
      <c r="AN27" s="295"/>
      <c r="AO27" s="295"/>
      <c r="AP27" s="295"/>
    </row>
    <row r="28" spans="1:42" s="1950" customFormat="1" ht="18.75" hidden="1" customHeight="1">
      <c r="A28" s="1249"/>
      <c r="B28" s="1249"/>
      <c r="C28" s="1249"/>
      <c r="D28" s="1249"/>
      <c r="E28" s="1249"/>
      <c r="F28" s="1249"/>
      <c r="G28" s="1249"/>
      <c r="H28" s="1249"/>
      <c r="I28" s="1249"/>
      <c r="J28" s="1249"/>
      <c r="K28" s="1249"/>
      <c r="L28" s="1250"/>
      <c r="M28" s="1249"/>
      <c r="N28" s="1249"/>
      <c r="O28" s="1249"/>
      <c r="S28" s="2227" t="s">
        <v>1484</v>
      </c>
      <c r="T28" s="2227"/>
      <c r="U28" s="1253"/>
      <c r="V28" s="2228" t="str">
        <f>IF(TITLE_DATE_CHANGE_PERIOD="",IF(TITLE_DATE_PR="","",TITLE_DATE_PR),TITLE_DATE_CHANGE_PERIOD)</f>
        <v/>
      </c>
      <c r="W28" s="2228"/>
      <c r="X28" s="2228"/>
      <c r="Y28" s="2228"/>
      <c r="Z28" s="2228"/>
      <c r="AA28" s="2228"/>
      <c r="AB28" s="253"/>
      <c r="AC28" s="2228" t="str">
        <f>IF(TITLE_DATE_CHANGE_PERIOD="",IF(TITLE_DATE_PR="","",TITLE_DATE_PR),TITLE_DATE_CHANGE_PERIOD)</f>
        <v/>
      </c>
      <c r="AD28" s="2228"/>
      <c r="AE28" s="2228"/>
      <c r="AF28" s="2228"/>
      <c r="AG28" s="2228"/>
      <c r="AH28" s="2228"/>
      <c r="AI28" s="253"/>
      <c r="AJ28" s="253"/>
      <c r="AK28" s="199"/>
      <c r="AL28" s="295"/>
      <c r="AM28" s="295"/>
      <c r="AN28" s="295"/>
      <c r="AO28" s="295"/>
      <c r="AP28" s="295"/>
    </row>
    <row r="29" spans="1:42" s="1950" customFormat="1" ht="18.75" hidden="1" customHeight="1">
      <c r="A29" s="1249"/>
      <c r="B29" s="1249"/>
      <c r="C29" s="1249"/>
      <c r="D29" s="1249"/>
      <c r="E29" s="1249"/>
      <c r="F29" s="1249"/>
      <c r="G29" s="1249"/>
      <c r="H29" s="1249"/>
      <c r="I29" s="1249"/>
      <c r="J29" s="1249"/>
      <c r="K29" s="1249"/>
      <c r="L29" s="1250"/>
      <c r="M29" s="1249"/>
      <c r="N29" s="1249"/>
      <c r="O29" s="1249"/>
      <c r="S29" s="2227" t="s">
        <v>1485</v>
      </c>
      <c r="T29" s="2227"/>
      <c r="U29" s="1253"/>
      <c r="V29" s="2228" t="str">
        <f>IF(TITLE_NUMBER_PR_CHANGE="",IF(TITLE_NUMBER_PR="","",TITLE_NUMBER_PR),TITLE_NUMBER_PR_CHANGE)</f>
        <v/>
      </c>
      <c r="W29" s="2228"/>
      <c r="X29" s="2228"/>
      <c r="Y29" s="2228"/>
      <c r="Z29" s="2228"/>
      <c r="AA29" s="2228"/>
      <c r="AB29" s="253"/>
      <c r="AC29" s="2228" t="str">
        <f>IF(TITLE_NUMBER_PR_CHANGE="",IF(TITLE_NUMBER_PR="","",TITLE_NUMBER_PR),TITLE_NUMBER_PR_CHANGE)</f>
        <v/>
      </c>
      <c r="AD29" s="2228"/>
      <c r="AE29" s="2228"/>
      <c r="AF29" s="2228"/>
      <c r="AG29" s="2228"/>
      <c r="AH29" s="2228"/>
      <c r="AI29" s="253"/>
      <c r="AJ29" s="253"/>
      <c r="AK29" s="199"/>
      <c r="AL29" s="295"/>
      <c r="AM29" s="295"/>
      <c r="AN29" s="295"/>
      <c r="AO29" s="295"/>
      <c r="AP29" s="295"/>
    </row>
    <row r="30" spans="1:42" s="1950" customFormat="1" ht="18.75" hidden="1" customHeight="1">
      <c r="A30" s="1249"/>
      <c r="B30" s="1249"/>
      <c r="C30" s="1249"/>
      <c r="D30" s="1249"/>
      <c r="E30" s="1249"/>
      <c r="F30" s="1249"/>
      <c r="G30" s="1249"/>
      <c r="H30" s="1249"/>
      <c r="I30" s="1249"/>
      <c r="J30" s="1249"/>
      <c r="K30" s="1249"/>
      <c r="L30" s="1250"/>
      <c r="M30" s="1249"/>
      <c r="N30" s="1249"/>
      <c r="O30" s="1249"/>
      <c r="S30" s="2227" t="s">
        <v>39</v>
      </c>
      <c r="T30" s="2227"/>
      <c r="U30" s="1253"/>
      <c r="V30" s="2228" t="str">
        <f>IF(TITLE_IST_PUB_CHANGE="",IF(TITLE_IST_PUB="","",TITLE_IST_PUB),TITLE_IST_PUB_CHANGE)</f>
        <v/>
      </c>
      <c r="W30" s="2228"/>
      <c r="X30" s="2228"/>
      <c r="Y30" s="2228"/>
      <c r="Z30" s="2228"/>
      <c r="AA30" s="2228"/>
      <c r="AB30" s="253"/>
      <c r="AC30" s="2228" t="str">
        <f>IF(TITLE_IST_PUB_CHANGE="",IF(TITLE_IST_PUB="","",TITLE_IST_PUB),TITLE_IST_PUB_CHANGE)</f>
        <v/>
      </c>
      <c r="AD30" s="2228"/>
      <c r="AE30" s="2228"/>
      <c r="AF30" s="2228"/>
      <c r="AG30" s="2228"/>
      <c r="AH30" s="2228"/>
      <c r="AI30" s="253"/>
      <c r="AJ30" s="253"/>
      <c r="AK30" s="199"/>
      <c r="AL30" s="295"/>
      <c r="AM30" s="295"/>
      <c r="AN30" s="295"/>
      <c r="AO30" s="295"/>
      <c r="AP30" s="295"/>
    </row>
    <row r="31" spans="1:42" ht="14.25" hidden="1" customHeight="1">
      <c r="Q31" s="304"/>
      <c r="R31" s="304"/>
      <c r="S31" s="1158"/>
      <c r="T31" s="289"/>
      <c r="U31" s="289"/>
      <c r="V31" s="248"/>
      <c r="W31" s="248"/>
      <c r="X31" s="248"/>
      <c r="Y31" s="248"/>
      <c r="Z31" s="248"/>
      <c r="AA31" s="248"/>
      <c r="AB31" s="248"/>
      <c r="AC31" s="248"/>
      <c r="AD31" s="248"/>
      <c r="AE31" s="248"/>
      <c r="AF31" s="248"/>
      <c r="AG31" s="248"/>
      <c r="AH31" s="248"/>
      <c r="AI31" s="248"/>
      <c r="AJ31" s="437"/>
    </row>
    <row r="32" spans="1:42" s="1950" customFormat="1" ht="18.75" hidden="1" customHeight="1">
      <c r="A32" s="1249"/>
      <c r="B32" s="1249"/>
      <c r="C32" s="1249"/>
      <c r="D32" s="1249"/>
      <c r="E32" s="1249"/>
      <c r="F32" s="1249"/>
      <c r="G32" s="1249"/>
      <c r="H32" s="1249"/>
      <c r="I32" s="1249"/>
      <c r="J32" s="1249"/>
      <c r="K32" s="1249"/>
      <c r="L32" s="1250"/>
      <c r="M32" s="1249"/>
      <c r="N32" s="1249"/>
      <c r="O32" s="1249"/>
      <c r="S32" s="2227" t="s">
        <v>1486</v>
      </c>
      <c r="T32" s="2227"/>
      <c r="U32" s="1253"/>
      <c r="V32" s="2228" t="str">
        <f>IF(TITLE_DATE_CHANGE_PERIOD="",IF(TITLE_DATE_PR="","",TITLE_DATE_PR),TITLE_DATE_CHANGE_PERIOD)</f>
        <v/>
      </c>
      <c r="W32" s="2228"/>
      <c r="X32" s="2228"/>
      <c r="Y32" s="2228"/>
      <c r="Z32" s="2228"/>
      <c r="AA32" s="2228"/>
      <c r="AB32" s="253"/>
      <c r="AC32" s="2228" t="str">
        <f>IF(TITLE_DATE_CHANGE_PERIOD="",IF(TITLE_DATE_PR="","",TITLE_DATE_PR),TITLE_DATE_CHANGE_PERIOD)</f>
        <v/>
      </c>
      <c r="AD32" s="2228"/>
      <c r="AE32" s="2228"/>
      <c r="AF32" s="2228"/>
      <c r="AG32" s="2228"/>
      <c r="AH32" s="2228"/>
      <c r="AI32" s="253"/>
      <c r="AJ32" s="253"/>
      <c r="AK32" s="199"/>
      <c r="AL32" s="295"/>
      <c r="AM32" s="295"/>
      <c r="AN32" s="295"/>
      <c r="AO32" s="295"/>
      <c r="AP32" s="295"/>
    </row>
    <row r="33" spans="1:42" s="1950" customFormat="1" ht="18.75" hidden="1" customHeight="1">
      <c r="A33" s="1249"/>
      <c r="B33" s="1249"/>
      <c r="C33" s="1249"/>
      <c r="D33" s="1249"/>
      <c r="E33" s="1249"/>
      <c r="F33" s="1249"/>
      <c r="G33" s="1249"/>
      <c r="H33" s="1249"/>
      <c r="I33" s="1249"/>
      <c r="J33" s="1249"/>
      <c r="K33" s="1249"/>
      <c r="L33" s="1250"/>
      <c r="M33" s="1249"/>
      <c r="N33" s="1249"/>
      <c r="O33" s="1249"/>
      <c r="S33" s="2227" t="s">
        <v>1487</v>
      </c>
      <c r="T33" s="2227"/>
      <c r="U33" s="1253"/>
      <c r="V33" s="2228" t="str">
        <f>IF(TITLE_NUMBER_PR_CHANGE="",IF(TITLE_NUMBER_PR="","",TITLE_NUMBER_PR),TITLE_NUMBER_PR_CHANGE)</f>
        <v/>
      </c>
      <c r="W33" s="2228"/>
      <c r="X33" s="2228"/>
      <c r="Y33" s="2228"/>
      <c r="Z33" s="2228"/>
      <c r="AA33" s="2228"/>
      <c r="AB33" s="253"/>
      <c r="AC33" s="2228" t="str">
        <f>IF(TITLE_NUMBER_PR_CHANGE="",IF(TITLE_NUMBER_PR="","",TITLE_NUMBER_PR),TITLE_NUMBER_PR_CHANGE)</f>
        <v/>
      </c>
      <c r="AD33" s="2228"/>
      <c r="AE33" s="2228"/>
      <c r="AF33" s="2228"/>
      <c r="AG33" s="2228"/>
      <c r="AH33" s="2228"/>
      <c r="AI33" s="253"/>
      <c r="AJ33" s="253"/>
      <c r="AK33" s="199"/>
      <c r="AL33" s="295"/>
      <c r="AM33" s="295"/>
      <c r="AN33" s="295"/>
      <c r="AO33" s="295"/>
      <c r="AP33" s="295"/>
    </row>
    <row r="34" spans="1:42" s="1950" customFormat="1" ht="0.75" customHeight="1">
      <c r="A34" s="1249"/>
      <c r="B34" s="1249"/>
      <c r="C34" s="1249"/>
      <c r="D34" s="1249"/>
      <c r="E34" s="1249"/>
      <c r="F34" s="1249"/>
      <c r="G34" s="1249"/>
      <c r="H34" s="1249"/>
      <c r="I34" s="1249"/>
      <c r="J34" s="1249"/>
      <c r="K34" s="1249"/>
      <c r="L34" s="1250"/>
      <c r="M34" s="1249"/>
      <c r="N34" s="1249"/>
      <c r="O34" s="1249"/>
      <c r="S34" s="250"/>
      <c r="T34" s="250"/>
      <c r="U34" s="1319"/>
      <c r="V34" s="253"/>
      <c r="W34" s="253"/>
      <c r="X34" s="253"/>
      <c r="Y34" s="253"/>
      <c r="Z34" s="253"/>
      <c r="AA34" s="253"/>
      <c r="AB34" s="197" t="s">
        <v>1488</v>
      </c>
      <c r="AC34" s="253"/>
      <c r="AD34" s="253"/>
      <c r="AE34" s="253"/>
      <c r="AF34" s="253"/>
      <c r="AG34" s="253"/>
      <c r="AH34" s="253"/>
      <c r="AI34" s="197" t="s">
        <v>1488</v>
      </c>
      <c r="AL34" s="295"/>
      <c r="AM34" s="295"/>
      <c r="AN34" s="295"/>
      <c r="AO34" s="295"/>
      <c r="AP34" s="295"/>
    </row>
    <row r="35" spans="1:42" ht="14.25" customHeight="1">
      <c r="Q35" s="304"/>
      <c r="R35" s="304"/>
      <c r="S35" s="1158"/>
      <c r="T35" s="289"/>
      <c r="U35" s="1117"/>
      <c r="V35" s="2246"/>
      <c r="W35" s="2246"/>
      <c r="X35" s="2246"/>
      <c r="Y35" s="2246"/>
      <c r="Z35" s="2246"/>
      <c r="AA35" s="2246"/>
      <c r="AB35" s="2246"/>
      <c r="AC35" s="2246"/>
      <c r="AD35" s="2246"/>
      <c r="AE35" s="2246"/>
      <c r="AF35" s="2246"/>
      <c r="AG35" s="2246"/>
      <c r="AH35" s="2246"/>
      <c r="AI35" s="2246"/>
    </row>
    <row r="36" spans="1:42" ht="14.25" customHeight="1">
      <c r="Q36" s="304"/>
      <c r="R36" s="304"/>
      <c r="S36" s="2021" t="s">
        <v>292</v>
      </c>
      <c r="T36" s="2021"/>
      <c r="U36" s="2021"/>
      <c r="V36" s="2021"/>
      <c r="W36" s="2021"/>
      <c r="X36" s="2021"/>
      <c r="Y36" s="2021"/>
      <c r="Z36" s="2021"/>
      <c r="AA36" s="2021"/>
      <c r="AB36" s="2021"/>
      <c r="AC36" s="2021"/>
      <c r="AD36" s="2021"/>
      <c r="AE36" s="2021"/>
      <c r="AF36" s="2021"/>
      <c r="AG36" s="2021"/>
      <c r="AH36" s="2021"/>
      <c r="AI36" s="2021"/>
      <c r="AJ36" s="2021"/>
      <c r="AK36" s="2021" t="s">
        <v>293</v>
      </c>
    </row>
    <row r="37" spans="1:42" ht="14.25" customHeight="1">
      <c r="Q37" s="304"/>
      <c r="R37" s="304"/>
      <c r="S37" s="2247" t="s">
        <v>88</v>
      </c>
      <c r="T37" s="2111" t="s">
        <v>1489</v>
      </c>
      <c r="U37" s="219"/>
      <c r="V37" s="2248" t="s">
        <v>1490</v>
      </c>
      <c r="W37" s="2249"/>
      <c r="X37" s="2249"/>
      <c r="Y37" s="2249"/>
      <c r="Z37" s="2249"/>
      <c r="AA37" s="2250"/>
      <c r="AB37" s="2251" t="s">
        <v>1491</v>
      </c>
      <c r="AC37" s="2248" t="s">
        <v>1490</v>
      </c>
      <c r="AD37" s="2249"/>
      <c r="AE37" s="2249"/>
      <c r="AF37" s="2249"/>
      <c r="AG37" s="2249"/>
      <c r="AH37" s="2250"/>
      <c r="AI37" s="2251" t="s">
        <v>1492</v>
      </c>
      <c r="AJ37" s="2254" t="s">
        <v>1493</v>
      </c>
      <c r="AK37" s="2021"/>
    </row>
    <row r="38" spans="1:42" ht="33.75" customHeight="1">
      <c r="Q38" s="304"/>
      <c r="R38" s="304"/>
      <c r="S38" s="2247"/>
      <c r="T38" s="2111"/>
      <c r="U38" s="924"/>
      <c r="V38" s="1317" t="s">
        <v>1684</v>
      </c>
      <c r="W38" s="2003" t="s">
        <v>1496</v>
      </c>
      <c r="X38" s="2002"/>
      <c r="Y38" s="2003" t="s">
        <v>1497</v>
      </c>
      <c r="Z38" s="2008"/>
      <c r="AA38" s="2002"/>
      <c r="AB38" s="2252"/>
      <c r="AC38" s="1317" t="s">
        <v>1684</v>
      </c>
      <c r="AD38" s="2003" t="s">
        <v>1496</v>
      </c>
      <c r="AE38" s="2002"/>
      <c r="AF38" s="2003" t="s">
        <v>1497</v>
      </c>
      <c r="AG38" s="2008"/>
      <c r="AH38" s="2002"/>
      <c r="AI38" s="2252"/>
      <c r="AJ38" s="2255"/>
      <c r="AK38" s="2021"/>
    </row>
    <row r="39" spans="1:42" ht="33.75" customHeight="1">
      <c r="A39" s="1251"/>
      <c r="B39" s="1251" t="s">
        <v>136</v>
      </c>
      <c r="C39" s="1251" t="s">
        <v>137</v>
      </c>
      <c r="D39" s="1251" t="s">
        <v>138</v>
      </c>
      <c r="E39" s="1245" t="s">
        <v>1498</v>
      </c>
      <c r="F39" s="1245" t="s">
        <v>1499</v>
      </c>
      <c r="G39" s="1245" t="s">
        <v>1500</v>
      </c>
      <c r="H39" s="1245"/>
      <c r="I39" s="1245" t="s">
        <v>1685</v>
      </c>
      <c r="J39" s="1245" t="s">
        <v>1503</v>
      </c>
      <c r="K39" s="1245" t="s">
        <v>1686</v>
      </c>
      <c r="L39" s="1245" t="s">
        <v>1479</v>
      </c>
      <c r="Q39" s="304"/>
      <c r="R39" s="304"/>
      <c r="S39" s="2247"/>
      <c r="T39" s="2111"/>
      <c r="U39" s="220"/>
      <c r="V39" s="1317" t="s">
        <v>1687</v>
      </c>
      <c r="W39" s="1092" t="s">
        <v>1688</v>
      </c>
      <c r="X39" s="1092" t="s">
        <v>1689</v>
      </c>
      <c r="Y39" s="1320" t="s">
        <v>1507</v>
      </c>
      <c r="Z39" s="2117" t="s">
        <v>1508</v>
      </c>
      <c r="AA39" s="2131"/>
      <c r="AB39" s="2253"/>
      <c r="AC39" s="1317" t="s">
        <v>1687</v>
      </c>
      <c r="AD39" s="1092" t="s">
        <v>1688</v>
      </c>
      <c r="AE39" s="1092" t="s">
        <v>1689</v>
      </c>
      <c r="AF39" s="1320" t="s">
        <v>1507</v>
      </c>
      <c r="AG39" s="2117" t="s">
        <v>1508</v>
      </c>
      <c r="AH39" s="2131"/>
      <c r="AI39" s="2253"/>
      <c r="AJ39" s="2256"/>
      <c r="AK39" s="2021"/>
    </row>
    <row r="40" spans="1:42" s="1720" customFormat="1" ht="11.25" hidden="1" customHeight="1">
      <c r="A40" s="1251"/>
      <c r="B40" s="1251"/>
      <c r="C40" s="1251"/>
      <c r="D40" s="1251"/>
      <c r="E40" s="1251"/>
      <c r="F40" s="1251"/>
      <c r="G40" s="1251"/>
      <c r="H40" s="1251"/>
      <c r="I40" s="1251"/>
      <c r="J40" s="1251"/>
      <c r="K40" s="1251"/>
      <c r="L40" s="1245"/>
      <c r="M40" s="1243"/>
      <c r="N40" s="1243"/>
      <c r="O40" s="1243"/>
      <c r="P40" s="1119"/>
      <c r="Q40" s="1120"/>
      <c r="R40" s="1135">
        <v>1</v>
      </c>
      <c r="S40" s="1160" t="s">
        <v>109</v>
      </c>
      <c r="T40" s="1136" t="s">
        <v>110</v>
      </c>
      <c r="U40" s="1118" t="str">
        <f ca="1">OFFSET(U40,0,-1)</f>
        <v>2</v>
      </c>
      <c r="V40" s="1316">
        <f ca="1">OFFSET(V40,0,-1)+1</f>
        <v>3</v>
      </c>
      <c r="W40" s="1316">
        <f ca="1">OFFSET(W40,0,-1)+1</f>
        <v>4</v>
      </c>
      <c r="X40" s="1316">
        <f ca="1">OFFSET(X40,0,-1)+1</f>
        <v>5</v>
      </c>
      <c r="Y40" s="1316">
        <f ca="1">OFFSET(Y40,0,-1)+1</f>
        <v>6</v>
      </c>
      <c r="Z40" s="2245">
        <f ca="1">OFFSET(Z40,0,-1)+1</f>
        <v>7</v>
      </c>
      <c r="AA40" s="2245"/>
      <c r="AB40" s="1316">
        <f ca="1">OFFSET(AB40,0,-2)+1</f>
        <v>8</v>
      </c>
      <c r="AC40" s="1316">
        <f ca="1">OFFSET(AC40,0,-1)+1</f>
        <v>9</v>
      </c>
      <c r="AD40" s="1316">
        <f ca="1">OFFSET(AD40,0,-1)+1</f>
        <v>10</v>
      </c>
      <c r="AE40" s="1316">
        <f ca="1">OFFSET(AE40,0,-1)+1</f>
        <v>11</v>
      </c>
      <c r="AF40" s="1316">
        <f ca="1">OFFSET(AF40,0,-1)+1</f>
        <v>12</v>
      </c>
      <c r="AG40" s="2245">
        <f ca="1">OFFSET(AG40,0,-1)+1</f>
        <v>13</v>
      </c>
      <c r="AH40" s="2245"/>
      <c r="AI40" s="1316">
        <f ca="1">OFFSET(AI40,0,-2)+1</f>
        <v>14</v>
      </c>
      <c r="AJ40" s="1118">
        <f ca="1">OFFSET(AJ40,0,-1)</f>
        <v>14</v>
      </c>
      <c r="AK40" s="1316">
        <f ca="1">OFFSET(AK40,0,-1)+1</f>
        <v>15</v>
      </c>
      <c r="AL40" s="439"/>
      <c r="AM40" s="439"/>
      <c r="AN40" s="439"/>
      <c r="AO40" s="439"/>
      <c r="AP40" s="439"/>
    </row>
    <row r="41" spans="1:42" ht="23.25" customHeight="1">
      <c r="A41" s="1244" t="s">
        <v>228</v>
      </c>
      <c r="B41" s="1244"/>
      <c r="C41" s="1244"/>
      <c r="D41" s="1244"/>
      <c r="E41" s="2235">
        <v>1</v>
      </c>
      <c r="F41" s="1244"/>
      <c r="G41" s="1244"/>
      <c r="H41" s="1244"/>
      <c r="I41" s="1244"/>
      <c r="J41" s="1244"/>
      <c r="K41" s="1244"/>
      <c r="L41" s="1245"/>
      <c r="M41" s="1246"/>
      <c r="N41" s="1246"/>
      <c r="O41" s="1246"/>
      <c r="P41" s="285"/>
      <c r="Q41" s="284"/>
      <c r="R41" s="279"/>
      <c r="S41" s="1322">
        <f>INDEX(PT_DIFFERENTIATION_NUM_NTAR,MATCH(A41,PT_DIFFERENTIATION_NTAR_ID,0))</f>
        <v>0</v>
      </c>
      <c r="T41" s="216" t="s">
        <v>124</v>
      </c>
      <c r="U41" s="218"/>
      <c r="V41" s="2229"/>
      <c r="W41" s="2230"/>
      <c r="X41" s="2230"/>
      <c r="Y41" s="2230"/>
      <c r="Z41" s="2230"/>
      <c r="AA41" s="2230"/>
      <c r="AB41" s="2231"/>
      <c r="AC41" s="2229" t="str">
        <f>INDEX(PT_DIFFERENTIATION_NTAR,MATCH(A41,PT_DIFFERENTIATION_NTAR_ID,0))</f>
        <v/>
      </c>
      <c r="AD41" s="2230"/>
      <c r="AE41" s="2230"/>
      <c r="AF41" s="2230"/>
      <c r="AG41" s="2230"/>
      <c r="AH41" s="2230"/>
      <c r="AI41" s="2230"/>
      <c r="AJ41" s="2231"/>
      <c r="AK41" s="114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8"/>
      <c r="AN41" s="428" t="str">
        <f t="shared" ref="AN41:AN53" si="1">IF(T41="","",T41)</f>
        <v>Наименование тарифа</v>
      </c>
      <c r="AO41" s="428"/>
      <c r="AP41" s="428"/>
    </row>
    <row r="42" spans="1:42" ht="23.25" customHeight="1">
      <c r="A42" s="1244" t="s">
        <v>228</v>
      </c>
      <c r="B42" s="1244" t="s">
        <v>229</v>
      </c>
      <c r="C42" s="1244"/>
      <c r="D42" s="1244"/>
      <c r="E42" s="2236"/>
      <c r="F42" s="2235">
        <v>1</v>
      </c>
      <c r="G42" s="1244"/>
      <c r="H42" s="1244"/>
      <c r="I42" s="1244"/>
      <c r="J42" s="1244"/>
      <c r="K42" s="1244"/>
      <c r="L42" s="1245"/>
      <c r="M42" s="1246"/>
      <c r="N42" s="1246"/>
      <c r="O42" s="1246"/>
      <c r="P42" s="1318"/>
      <c r="Q42" s="276"/>
      <c r="R42" s="277"/>
      <c r="S42" s="1322" t="str">
        <f>INDEX(PT_DIFFERENTIATION_NUM_TER,MATCH(B42,PT_DIFFERENTIATION_TER_ID,0))</f>
        <v>.</v>
      </c>
      <c r="T42" s="228" t="s">
        <v>1461</v>
      </c>
      <c r="U42" s="218"/>
      <c r="V42" s="2229"/>
      <c r="W42" s="2230"/>
      <c r="X42" s="2230"/>
      <c r="Y42" s="2230"/>
      <c r="Z42" s="2230"/>
      <c r="AA42" s="2230"/>
      <c r="AB42" s="2231"/>
      <c r="AC42" s="2229" t="str">
        <f>INDEX(PT_DIFFERENTIATION_TER,MATCH(B42,PT_DIFFERENTIATION_TER_ID,0))</f>
        <v/>
      </c>
      <c r="AD42" s="2230"/>
      <c r="AE42" s="2230"/>
      <c r="AF42" s="2230"/>
      <c r="AG42" s="2230"/>
      <c r="AH42" s="2230"/>
      <c r="AI42" s="2230"/>
      <c r="AJ42" s="2231"/>
      <c r="AK42" s="1140" t="s">
        <v>1462</v>
      </c>
      <c r="AM42" s="428"/>
      <c r="AN42" s="428" t="str">
        <f t="shared" si="1"/>
        <v>Территория действия тарифа</v>
      </c>
      <c r="AO42" s="428"/>
      <c r="AP42" s="428"/>
    </row>
    <row r="43" spans="1:42" ht="23.25" customHeight="1">
      <c r="A43" s="1244" t="s">
        <v>228</v>
      </c>
      <c r="B43" s="1244" t="s">
        <v>229</v>
      </c>
      <c r="C43" s="1244" t="s">
        <v>230</v>
      </c>
      <c r="D43" s="1244"/>
      <c r="E43" s="2236"/>
      <c r="F43" s="2236"/>
      <c r="G43" s="2235">
        <v>1</v>
      </c>
      <c r="H43" s="1244"/>
      <c r="I43" s="1244"/>
      <c r="J43" s="1244"/>
      <c r="K43" s="1244"/>
      <c r="L43" s="1245"/>
      <c r="M43" s="1246"/>
      <c r="N43" s="1246"/>
      <c r="O43" s="1246"/>
      <c r="P43" s="278"/>
      <c r="Q43" s="276"/>
      <c r="R43" s="277"/>
      <c r="S43" s="1322" t="str">
        <f>INDEX(PT_DIFFERENTIATION_NUM_CS,MATCH(C43,PT_DIFFERENTIATION_CS_ID,0))</f>
        <v>..</v>
      </c>
      <c r="T43" s="229" t="s">
        <v>1676</v>
      </c>
      <c r="U43" s="218"/>
      <c r="V43" s="2229"/>
      <c r="W43" s="2230"/>
      <c r="X43" s="2230"/>
      <c r="Y43" s="2230"/>
      <c r="Z43" s="2230"/>
      <c r="AA43" s="2230"/>
      <c r="AB43" s="2231"/>
      <c r="AC43" s="2229" t="str">
        <f>INDEX(PT_DIFFERENTIATION_CS,MATCH(C43,PT_DIFFERENTIATION_CS_ID,0))</f>
        <v/>
      </c>
      <c r="AD43" s="2230"/>
      <c r="AE43" s="2230"/>
      <c r="AF43" s="2230"/>
      <c r="AG43" s="2230"/>
      <c r="AH43" s="2230"/>
      <c r="AI43" s="2230"/>
      <c r="AJ43" s="2231"/>
      <c r="AK43" s="1140" t="s">
        <v>1677</v>
      </c>
      <c r="AM43" s="428"/>
      <c r="AN43" s="428" t="str">
        <f t="shared" si="1"/>
        <v>Наименование централизованной системы холодного водоснабжения</v>
      </c>
      <c r="AO43" s="428"/>
      <c r="AP43" s="428"/>
    </row>
    <row r="44" spans="1:42" ht="23.25" customHeight="1">
      <c r="A44" s="1244" t="s">
        <v>228</v>
      </c>
      <c r="B44" s="1244" t="s">
        <v>229</v>
      </c>
      <c r="C44" s="1244" t="s">
        <v>230</v>
      </c>
      <c r="D44" s="1244" t="s">
        <v>1694</v>
      </c>
      <c r="E44" s="2236"/>
      <c r="F44" s="2236"/>
      <c r="G44" s="2236"/>
      <c r="H44" s="2236"/>
      <c r="I44" s="2237" t="str">
        <f>S43&amp;".1"</f>
        <v>...1</v>
      </c>
      <c r="J44" s="1244"/>
      <c r="K44" s="1244"/>
      <c r="L44" s="1245"/>
      <c r="P44" s="2157">
        <v>1</v>
      </c>
      <c r="Q44" s="1315"/>
      <c r="R44" s="280"/>
      <c r="S44" s="1322" t="str">
        <f>$I44</f>
        <v>...1</v>
      </c>
      <c r="T44" s="203" t="s">
        <v>1678</v>
      </c>
      <c r="U44" s="218"/>
      <c r="V44" s="2327"/>
      <c r="W44" s="2328"/>
      <c r="X44" s="2328"/>
      <c r="Y44" s="2328"/>
      <c r="Z44" s="2328"/>
      <c r="AA44" s="2328"/>
      <c r="AB44" s="2329"/>
      <c r="AC44" s="2330"/>
      <c r="AD44" s="2331"/>
      <c r="AE44" s="2331"/>
      <c r="AF44" s="2331"/>
      <c r="AG44" s="2331"/>
      <c r="AH44" s="2331"/>
      <c r="AI44" s="2331"/>
      <c r="AJ44" s="2332"/>
      <c r="AK44" s="1140" t="s">
        <v>1679</v>
      </c>
      <c r="AM44" s="428"/>
      <c r="AN44" s="428" t="str">
        <f t="shared" si="1"/>
        <v>Наименование признака дифференциации</v>
      </c>
      <c r="AO44" s="428"/>
      <c r="AP44" s="428"/>
    </row>
    <row r="45" spans="1:42" ht="23.25" customHeight="1">
      <c r="A45" s="1244" t="s">
        <v>228</v>
      </c>
      <c r="B45" s="1244" t="s">
        <v>229</v>
      </c>
      <c r="C45" s="1244" t="s">
        <v>230</v>
      </c>
      <c r="D45" s="1244" t="s">
        <v>1694</v>
      </c>
      <c r="E45" s="2236"/>
      <c r="F45" s="2236"/>
      <c r="G45" s="2236"/>
      <c r="H45" s="2236"/>
      <c r="I45" s="2238"/>
      <c r="J45" s="2237" t="str">
        <f>I44&amp;".1"</f>
        <v>...1.1</v>
      </c>
      <c r="K45" s="1244"/>
      <c r="L45" s="1245" t="s">
        <v>1470</v>
      </c>
      <c r="P45" s="2157"/>
      <c r="Q45" s="2157">
        <v>1</v>
      </c>
      <c r="R45" s="281"/>
      <c r="S45" s="1322" t="str">
        <f>$J45</f>
        <v>...1.1</v>
      </c>
      <c r="T45" s="204" t="s">
        <v>1471</v>
      </c>
      <c r="U45" s="218"/>
      <c r="V45" s="2224"/>
      <c r="W45" s="2225"/>
      <c r="X45" s="2225"/>
      <c r="Y45" s="2225"/>
      <c r="Z45" s="2225"/>
      <c r="AA45" s="2225"/>
      <c r="AB45" s="2226"/>
      <c r="AC45" s="2224"/>
      <c r="AD45" s="2225"/>
      <c r="AE45" s="2225"/>
      <c r="AF45" s="2225"/>
      <c r="AG45" s="2225"/>
      <c r="AH45" s="2225"/>
      <c r="AI45" s="2225"/>
      <c r="AJ45" s="2226"/>
      <c r="AK45" s="1194" t="s">
        <v>1680</v>
      </c>
      <c r="AM45" s="428"/>
      <c r="AN45" s="428" t="str">
        <f t="shared" si="1"/>
        <v>Группа потребителей</v>
      </c>
      <c r="AO45" s="428"/>
      <c r="AP45" s="428"/>
    </row>
    <row r="46" spans="1:42" ht="23.25" customHeight="1">
      <c r="A46" s="1244" t="s">
        <v>228</v>
      </c>
      <c r="B46" s="1244" t="s">
        <v>229</v>
      </c>
      <c r="C46" s="1244" t="s">
        <v>230</v>
      </c>
      <c r="D46" s="1244" t="s">
        <v>1694</v>
      </c>
      <c r="E46" s="2236"/>
      <c r="F46" s="2236"/>
      <c r="G46" s="2236"/>
      <c r="H46" s="2236"/>
      <c r="I46" s="2238"/>
      <c r="J46" s="2238"/>
      <c r="K46" s="2237" t="str">
        <f>J45&amp;".1"</f>
        <v>...1.1.1</v>
      </c>
      <c r="L46" s="1245"/>
      <c r="P46" s="2157"/>
      <c r="Q46" s="2157"/>
      <c r="R46" s="281">
        <v>1</v>
      </c>
      <c r="S46" s="1322" t="str">
        <f>$K46</f>
        <v>...1.1.1</v>
      </c>
      <c r="T46" s="1306"/>
      <c r="U46" s="218"/>
      <c r="V46" s="1667"/>
      <c r="W46" s="1667"/>
      <c r="X46" s="1669"/>
      <c r="Y46" s="2239"/>
      <c r="Z46" s="2031" t="s">
        <v>66</v>
      </c>
      <c r="AA46" s="2239"/>
      <c r="AB46" s="2031" t="s">
        <v>66</v>
      </c>
      <c r="AC46" s="1667"/>
      <c r="AD46" s="1667"/>
      <c r="AE46" s="1669"/>
      <c r="AF46" s="2239"/>
      <c r="AG46" s="2031" t="s">
        <v>66</v>
      </c>
      <c r="AH46" s="2241"/>
      <c r="AI46" s="2031" t="s">
        <v>66</v>
      </c>
      <c r="AJ46" s="1706"/>
      <c r="AK46" s="233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9" t="e">
        <f ca="1">STRCHECKDATE(V47:AJ47)</f>
        <v>#NAME?</v>
      </c>
      <c r="AM46" s="428"/>
      <c r="AN46" s="428" t="str">
        <f t="shared" si="1"/>
        <v/>
      </c>
      <c r="AO46" s="428"/>
      <c r="AP46" s="428"/>
    </row>
    <row r="47" spans="1:42" ht="0" hidden="1" customHeight="1">
      <c r="A47" s="1244" t="s">
        <v>228</v>
      </c>
      <c r="B47" s="1244" t="s">
        <v>229</v>
      </c>
      <c r="C47" s="1244" t="s">
        <v>230</v>
      </c>
      <c r="D47" s="1244" t="s">
        <v>1694</v>
      </c>
      <c r="E47" s="2236"/>
      <c r="F47" s="2236"/>
      <c r="G47" s="2236"/>
      <c r="H47" s="2236"/>
      <c r="I47" s="2238"/>
      <c r="J47" s="2238"/>
      <c r="K47" s="2237"/>
      <c r="L47" s="1245"/>
      <c r="P47" s="2157"/>
      <c r="Q47" s="2157"/>
      <c r="R47" s="281"/>
      <c r="S47" s="1321"/>
      <c r="T47" s="218"/>
      <c r="U47" s="218"/>
      <c r="V47" s="1668"/>
      <c r="W47" s="1668"/>
      <c r="X47" s="1670" t="str">
        <f>Y46&amp;"-"&amp;AA46</f>
        <v>-</v>
      </c>
      <c r="Y47" s="2240"/>
      <c r="Z47" s="2031"/>
      <c r="AA47" s="2240"/>
      <c r="AB47" s="2031"/>
      <c r="AC47" s="1668"/>
      <c r="AD47" s="1668"/>
      <c r="AE47" s="1670" t="str">
        <f>AF46&amp;"-"&amp;AH46</f>
        <v>-</v>
      </c>
      <c r="AF47" s="2240"/>
      <c r="AG47" s="2031"/>
      <c r="AH47" s="2242"/>
      <c r="AI47" s="2031"/>
      <c r="AJ47" s="1707"/>
      <c r="AK47" s="2333"/>
      <c r="AM47" s="428"/>
      <c r="AN47" s="428" t="str">
        <f t="shared" si="1"/>
        <v/>
      </c>
      <c r="AO47" s="428"/>
      <c r="AP47" s="428"/>
    </row>
    <row r="48" spans="1:42" ht="21" customHeight="1">
      <c r="A48" s="1244" t="s">
        <v>228</v>
      </c>
      <c r="B48" s="1244" t="s">
        <v>229</v>
      </c>
      <c r="C48" s="1244" t="s">
        <v>230</v>
      </c>
      <c r="D48" s="1244" t="s">
        <v>1694</v>
      </c>
      <c r="E48" s="2236"/>
      <c r="F48" s="2236"/>
      <c r="G48" s="2236"/>
      <c r="H48" s="2236"/>
      <c r="I48" s="2238"/>
      <c r="J48" s="2237"/>
      <c r="K48" s="1244"/>
      <c r="L48" s="1245"/>
      <c r="P48" s="2157"/>
      <c r="Q48" s="2157"/>
      <c r="R48" s="280"/>
      <c r="S48" s="1161"/>
      <c r="T48" s="205" t="s">
        <v>1681</v>
      </c>
      <c r="U48" s="294"/>
      <c r="V48" s="294"/>
      <c r="W48" s="294"/>
      <c r="X48" s="294"/>
      <c r="Y48" s="294"/>
      <c r="Z48" s="294"/>
      <c r="AA48" s="294"/>
      <c r="AB48" s="294"/>
      <c r="AC48" s="294"/>
      <c r="AD48" s="294"/>
      <c r="AE48" s="294"/>
      <c r="AF48" s="294"/>
      <c r="AG48" s="294"/>
      <c r="AH48" s="294"/>
      <c r="AI48" s="294"/>
      <c r="AJ48" s="294"/>
      <c r="AK48" s="1140" t="s">
        <v>1682</v>
      </c>
      <c r="AM48" s="428"/>
      <c r="AN48" s="428" t="str">
        <f t="shared" si="1"/>
        <v>Добавить значение признака дифференциации</v>
      </c>
      <c r="AO48" s="428"/>
      <c r="AP48" s="428"/>
    </row>
    <row r="49" spans="1:42" ht="21" customHeight="1">
      <c r="A49" s="1244" t="s">
        <v>228</v>
      </c>
      <c r="B49" s="1244" t="s">
        <v>229</v>
      </c>
      <c r="C49" s="1244" t="s">
        <v>230</v>
      </c>
      <c r="D49" s="1244" t="s">
        <v>1694</v>
      </c>
      <c r="E49" s="2236"/>
      <c r="F49" s="2236"/>
      <c r="G49" s="2236"/>
      <c r="H49" s="2236"/>
      <c r="I49" s="2237"/>
      <c r="J49" s="1244"/>
      <c r="K49" s="1244"/>
      <c r="L49" s="1245"/>
      <c r="P49" s="2157"/>
      <c r="Q49" s="1315"/>
      <c r="R49" s="280"/>
      <c r="S49" s="1161"/>
      <c r="T49" s="291" t="s">
        <v>1476</v>
      </c>
      <c r="U49" s="294"/>
      <c r="V49" s="294"/>
      <c r="W49" s="294"/>
      <c r="X49" s="294"/>
      <c r="Y49" s="294"/>
      <c r="Z49" s="294"/>
      <c r="AA49" s="294"/>
      <c r="AB49" s="293"/>
      <c r="AC49" s="294"/>
      <c r="AD49" s="294"/>
      <c r="AE49" s="294"/>
      <c r="AF49" s="294"/>
      <c r="AG49" s="294"/>
      <c r="AH49" s="294"/>
      <c r="AI49" s="293"/>
      <c r="AJ49" s="294"/>
      <c r="AK49" s="1307"/>
      <c r="AM49" s="428"/>
      <c r="AN49" s="428" t="str">
        <f t="shared" si="1"/>
        <v>Добавить группу потребителей</v>
      </c>
      <c r="AO49" s="428"/>
      <c r="AP49" s="428"/>
    </row>
    <row r="50" spans="1:42" ht="21" customHeight="1">
      <c r="A50" s="1244" t="s">
        <v>228</v>
      </c>
      <c r="B50" s="1244" t="s">
        <v>229</v>
      </c>
      <c r="C50" s="1244" t="s">
        <v>230</v>
      </c>
      <c r="D50" s="1244" t="s">
        <v>1694</v>
      </c>
      <c r="E50" s="2236"/>
      <c r="F50" s="2236"/>
      <c r="G50" s="2236"/>
      <c r="H50" s="2235"/>
      <c r="I50" s="1244"/>
      <c r="J50" s="1244"/>
      <c r="K50" s="1244"/>
      <c r="L50" s="1245"/>
      <c r="M50" s="1246"/>
      <c r="N50" s="1246"/>
      <c r="O50" s="464"/>
      <c r="P50" s="284"/>
      <c r="Q50" s="303"/>
      <c r="R50" s="279"/>
      <c r="S50" s="1161"/>
      <c r="T50" s="299" t="s">
        <v>1683</v>
      </c>
      <c r="U50" s="294"/>
      <c r="V50" s="294"/>
      <c r="W50" s="294"/>
      <c r="X50" s="294"/>
      <c r="Y50" s="294"/>
      <c r="Z50" s="294"/>
      <c r="AA50" s="294"/>
      <c r="AB50" s="293"/>
      <c r="AC50" s="294"/>
      <c r="AD50" s="294"/>
      <c r="AE50" s="294"/>
      <c r="AF50" s="294"/>
      <c r="AG50" s="294"/>
      <c r="AH50" s="294"/>
      <c r="AI50" s="293"/>
      <c r="AJ50" s="294"/>
      <c r="AK50" s="221"/>
      <c r="AM50" s="428"/>
      <c r="AN50" s="428" t="str">
        <f t="shared" si="1"/>
        <v>Добавить наименование признака дифференциации</v>
      </c>
      <c r="AO50" s="428"/>
      <c r="AP50" s="428"/>
    </row>
    <row r="51" spans="1:42" s="1772" customFormat="1" ht="0.75" customHeight="1">
      <c r="A51" s="1228" t="s">
        <v>228</v>
      </c>
      <c r="B51" s="1228" t="s">
        <v>229</v>
      </c>
      <c r="C51" s="1200"/>
      <c r="D51" s="1200"/>
      <c r="E51" s="2236"/>
      <c r="F51" s="2235"/>
      <c r="G51" s="1200"/>
      <c r="H51" s="1200"/>
      <c r="I51" s="1200"/>
      <c r="J51" s="1200"/>
      <c r="K51" s="1200"/>
      <c r="L51" s="1323"/>
      <c r="M51" s="1207"/>
      <c r="N51" s="1207"/>
      <c r="P51" s="1202"/>
      <c r="Q51" s="1203"/>
      <c r="R51" s="1202"/>
      <c r="S51" s="1208"/>
      <c r="T51" s="1211" t="s">
        <v>1437</v>
      </c>
      <c r="U51" s="1210"/>
      <c r="V51" s="1210"/>
      <c r="W51" s="1210"/>
      <c r="X51" s="1210"/>
      <c r="Y51" s="1210"/>
      <c r="Z51" s="1210"/>
      <c r="AA51" s="1210"/>
      <c r="AB51" s="1210"/>
      <c r="AC51" s="1210"/>
      <c r="AD51" s="1210"/>
      <c r="AE51" s="1210"/>
      <c r="AF51" s="1210"/>
      <c r="AG51" s="1210"/>
      <c r="AH51" s="1210"/>
      <c r="AI51" s="1210"/>
      <c r="AJ51" s="1210"/>
      <c r="AK51" s="1210"/>
      <c r="AM51" s="696"/>
      <c r="AN51" s="696" t="str">
        <f t="shared" si="1"/>
        <v>Добавить централизованную систему для дифференциации</v>
      </c>
      <c r="AO51" s="696"/>
      <c r="AP51" s="696"/>
    </row>
    <row r="52" spans="1:42" s="1772" customFormat="1" ht="0.75" customHeight="1">
      <c r="A52" s="1228" t="s">
        <v>228</v>
      </c>
      <c r="B52" s="1228"/>
      <c r="C52" s="1228"/>
      <c r="D52" s="1228"/>
      <c r="E52" s="2235"/>
      <c r="F52" s="1228"/>
      <c r="G52" s="1228"/>
      <c r="H52" s="1228"/>
      <c r="I52" s="1228"/>
      <c r="J52" s="1228"/>
      <c r="K52" s="1228"/>
      <c r="L52" s="1231"/>
      <c r="M52" s="1207"/>
      <c r="N52" s="1207"/>
      <c r="O52" s="446"/>
      <c r="P52" s="311"/>
      <c r="Q52" s="1229"/>
      <c r="R52" s="311"/>
      <c r="S52" s="1208"/>
      <c r="T52" s="1211" t="s">
        <v>1438</v>
      </c>
      <c r="U52" s="1210"/>
      <c r="V52" s="1210"/>
      <c r="W52" s="1210"/>
      <c r="X52" s="1210"/>
      <c r="Y52" s="1210"/>
      <c r="Z52" s="1210"/>
      <c r="AA52" s="1210"/>
      <c r="AB52" s="1210"/>
      <c r="AC52" s="1210"/>
      <c r="AD52" s="1210"/>
      <c r="AE52" s="1210"/>
      <c r="AF52" s="1210"/>
      <c r="AG52" s="1210"/>
      <c r="AH52" s="1210"/>
      <c r="AI52" s="1210"/>
      <c r="AJ52" s="1210"/>
      <c r="AK52" s="1210"/>
      <c r="AM52" s="428"/>
      <c r="AN52" s="428" t="str">
        <f t="shared" si="1"/>
        <v>Добавить территорию для дифференциации</v>
      </c>
      <c r="AO52" s="428"/>
      <c r="AP52" s="428"/>
    </row>
    <row r="53" spans="1:42" s="1772" customFormat="1" ht="0.75" customHeight="1">
      <c r="A53" s="1200"/>
      <c r="B53" s="1200"/>
      <c r="C53" s="1200"/>
      <c r="D53" s="1200"/>
      <c r="E53" s="1228"/>
      <c r="F53" s="1200"/>
      <c r="G53" s="1200"/>
      <c r="H53" s="1200"/>
      <c r="I53" s="1200"/>
      <c r="J53" s="1200"/>
      <c r="K53" s="1200"/>
      <c r="L53" s="1323"/>
      <c r="M53" s="1207"/>
      <c r="N53" s="1207"/>
      <c r="P53" s="1202"/>
      <c r="Q53" s="1203"/>
      <c r="R53" s="1202"/>
      <c r="S53" s="1208"/>
      <c r="T53" s="1211" t="s">
        <v>1439</v>
      </c>
      <c r="U53" s="1210"/>
      <c r="V53" s="1210"/>
      <c r="W53" s="1210"/>
      <c r="X53" s="1210"/>
      <c r="Y53" s="1210"/>
      <c r="Z53" s="1210"/>
      <c r="AA53" s="1210"/>
      <c r="AB53" s="1210"/>
      <c r="AC53" s="1210"/>
      <c r="AD53" s="1210"/>
      <c r="AE53" s="1210"/>
      <c r="AF53" s="1210"/>
      <c r="AG53" s="1210"/>
      <c r="AH53" s="1210"/>
      <c r="AI53" s="1210"/>
      <c r="AJ53" s="1210"/>
      <c r="AK53" s="1210"/>
      <c r="AM53" s="696"/>
      <c r="AN53" s="696" t="str">
        <f t="shared" si="1"/>
        <v>Добавить наименование тарифа</v>
      </c>
      <c r="AO53" s="696"/>
      <c r="AP53" s="696"/>
    </row>
    <row r="54" spans="1:42" ht="11.25" hidden="1" customHeight="1">
      <c r="M54" s="1036"/>
      <c r="N54" s="1036"/>
      <c r="O54" s="464"/>
      <c r="P54" s="1031"/>
      <c r="Q54" s="1031"/>
      <c r="R54" s="1031"/>
      <c r="S54" s="1031"/>
      <c r="AL54" s="1031"/>
      <c r="AM54" s="1031"/>
      <c r="AN54" s="1031"/>
      <c r="AO54" s="1031"/>
      <c r="AP54" s="1031"/>
    </row>
    <row r="55" spans="1:42" ht="14.25" hidden="1" customHeight="1">
      <c r="O55" s="464"/>
      <c r="S55" s="1128" t="s">
        <v>1509</v>
      </c>
      <c r="T55" s="2234" t="s">
        <v>1691</v>
      </c>
      <c r="U55" s="2234"/>
      <c r="V55" s="2234"/>
      <c r="W55" s="2234"/>
      <c r="X55" s="2234"/>
      <c r="Y55" s="2234"/>
      <c r="Z55" s="2234"/>
      <c r="AA55" s="2234"/>
      <c r="AB55" s="2234"/>
      <c r="AC55" s="2234"/>
      <c r="AD55" s="2234"/>
      <c r="AE55" s="2234"/>
      <c r="AF55" s="2234"/>
      <c r="AG55" s="2234"/>
      <c r="AH55" s="2234"/>
      <c r="AI55" s="2234"/>
      <c r="AJ55" s="2234"/>
      <c r="AK55" s="2234"/>
    </row>
    <row r="56" spans="1:42" ht="14.25" hidden="1" customHeight="1">
      <c r="O56" s="464"/>
    </row>
    <row r="57" spans="1:42" ht="14.25" hidden="1" customHeight="1">
      <c r="O57" s="464"/>
      <c r="S57" s="1128" t="s">
        <v>1509</v>
      </c>
      <c r="T57" s="2234" t="s">
        <v>1692</v>
      </c>
      <c r="U57" s="2234"/>
      <c r="V57" s="2234"/>
      <c r="W57" s="2234"/>
      <c r="X57" s="2234"/>
      <c r="Y57" s="2234"/>
      <c r="Z57" s="2234"/>
      <c r="AA57" s="2234"/>
      <c r="AB57" s="2234"/>
      <c r="AC57" s="2234"/>
      <c r="AD57" s="2234"/>
      <c r="AE57" s="2234"/>
      <c r="AF57" s="2234"/>
      <c r="AG57" s="2234"/>
      <c r="AH57" s="2234"/>
      <c r="AI57" s="2234"/>
      <c r="AJ57" s="2234"/>
      <c r="AK57" s="2234"/>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759" hidden="1"/>
    <col min="2" max="2" width="11" style="1759" hidden="1" customWidth="1"/>
    <col min="3" max="3" width="10.5703125" style="1759" hidden="1"/>
    <col min="4" max="4" width="11.85546875" style="1759" hidden="1" customWidth="1"/>
    <col min="5" max="5" width="10" style="1759" hidden="1" customWidth="1"/>
    <col min="6" max="6" width="8.7109375" style="1759" hidden="1" customWidth="1"/>
    <col min="7" max="7" width="7.5703125" style="1759" hidden="1" customWidth="1"/>
    <col min="8" max="8" width="11.42578125" style="1759" hidden="1" customWidth="1"/>
    <col min="9" max="9" width="14.140625" style="1759" hidden="1" customWidth="1"/>
    <col min="10" max="10" width="9.85546875" style="1759" hidden="1" customWidth="1"/>
    <col min="11" max="11" width="14.7109375" style="1759" hidden="1" customWidth="1"/>
    <col min="12" max="12" width="19.140625" style="1758" hidden="1" customWidth="1"/>
    <col min="13" max="14" width="12.28515625" style="1686" hidden="1" customWidth="1"/>
    <col min="15" max="15" width="23.42578125" style="1686" hidden="1" customWidth="1"/>
    <col min="16" max="16" width="3.7109375" style="1740" customWidth="1"/>
    <col min="17" max="18" width="3.7109375" style="1677" customWidth="1"/>
    <col min="19" max="19" width="12.7109375" style="1727" customWidth="1"/>
    <col min="20" max="20" width="35.7109375" style="1846" customWidth="1"/>
    <col min="21" max="21" width="0.140625" style="1846" customWidth="1"/>
    <col min="22" max="24" width="24.7109375" style="1846" hidden="1" customWidth="1"/>
    <col min="25" max="25" width="11.7109375" style="1846" hidden="1" customWidth="1"/>
    <col min="26" max="26" width="3.7109375" style="1846" hidden="1" customWidth="1"/>
    <col min="27" max="27" width="11.7109375" style="1846" hidden="1" customWidth="1"/>
    <col min="28" max="28" width="8.5703125" style="1846" hidden="1" customWidth="1"/>
    <col min="29" max="31" width="24.7109375" style="1846" customWidth="1"/>
    <col min="32" max="32" width="11.7109375" style="1846" customWidth="1"/>
    <col min="33" max="33" width="3.7109375" style="1846" customWidth="1"/>
    <col min="34" max="34" width="11.7109375" style="1846" customWidth="1"/>
    <col min="35" max="35" width="8.5703125" style="1846" hidden="1" customWidth="1"/>
    <col min="36" max="36" width="4.7109375" style="1846" customWidth="1"/>
    <col min="37" max="37" width="115.7109375" style="1846" customWidth="1"/>
    <col min="38" max="39" width="10.5703125" style="1772"/>
    <col min="40" max="40" width="11.140625" style="1772" customWidth="1"/>
    <col min="41" max="42" width="10.5703125" style="1772"/>
  </cols>
  <sheetData>
    <row r="1" spans="1:42" ht="14.25" hidden="1" customHeight="1">
      <c r="X1" s="254"/>
      <c r="Y1" s="254"/>
      <c r="AE1" s="254"/>
      <c r="AF1" s="254"/>
    </row>
    <row r="2" spans="1:42" ht="23.25" hidden="1" customHeight="1">
      <c r="A2" s="1244"/>
      <c r="B2" s="1244"/>
      <c r="C2" s="1244"/>
      <c r="D2" s="1244"/>
      <c r="E2" s="2235">
        <v>1</v>
      </c>
      <c r="F2" s="1244"/>
      <c r="G2" s="1244"/>
      <c r="H2" s="1244"/>
      <c r="I2" s="1244"/>
      <c r="J2" s="1244"/>
      <c r="K2" s="1244"/>
      <c r="L2" s="1245"/>
      <c r="M2" s="1246"/>
      <c r="N2" s="1246"/>
      <c r="O2" s="1246"/>
      <c r="P2" s="285"/>
      <c r="Q2" s="284"/>
      <c r="R2" s="279"/>
      <c r="S2" s="1322" t="e">
        <f>INDEX(PT_DIFFERENTIATION_NUM_NTAR,MATCH(A2,PT_DIFFERENTIATION_NTAR_ID,0))</f>
        <v>#N/A</v>
      </c>
      <c r="T2" s="216" t="s">
        <v>124</v>
      </c>
      <c r="U2" s="218"/>
      <c r="V2" s="2229"/>
      <c r="W2" s="2230"/>
      <c r="X2" s="2230"/>
      <c r="Y2" s="2230"/>
      <c r="Z2" s="2230"/>
      <c r="AA2" s="2230"/>
      <c r="AB2" s="2231"/>
      <c r="AC2" s="2229" t="e">
        <f>INDEX(PT_DIFFERENTIATION_NTAR,MATCH(A2,PT_DIFFERENTIATION_NTAR_ID,0))</f>
        <v>#N/A</v>
      </c>
      <c r="AD2" s="2230"/>
      <c r="AE2" s="2230"/>
      <c r="AF2" s="2230"/>
      <c r="AG2" s="2230"/>
      <c r="AH2" s="2230"/>
      <c r="AI2" s="2230"/>
      <c r="AJ2" s="2231"/>
      <c r="AK2" s="114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8"/>
      <c r="AN2" s="428" t="str">
        <f t="shared" ref="AN2:AN13" si="0">IF(T2="","",T2)</f>
        <v>Наименование тарифа</v>
      </c>
      <c r="AO2" s="428"/>
      <c r="AP2" s="428"/>
    </row>
    <row r="3" spans="1:42" ht="23.25" hidden="1" customHeight="1">
      <c r="A3" s="1244"/>
      <c r="B3" s="1244"/>
      <c r="C3" s="1244"/>
      <c r="D3" s="1244"/>
      <c r="E3" s="2236"/>
      <c r="F3" s="2235">
        <v>1</v>
      </c>
      <c r="G3" s="1244"/>
      <c r="H3" s="1244"/>
      <c r="I3" s="1244"/>
      <c r="J3" s="1244"/>
      <c r="K3" s="1244"/>
      <c r="L3" s="1245"/>
      <c r="M3" s="1246"/>
      <c r="N3" s="1246"/>
      <c r="O3" s="1246"/>
      <c r="P3" s="1318"/>
      <c r="Q3" s="276"/>
      <c r="R3" s="277"/>
      <c r="S3" s="1322" t="e">
        <f>INDEX(PT_DIFFERENTIATION_NUM_TER,MATCH(B3,PT_DIFFERENTIATION_TER_ID,0))</f>
        <v>#N/A</v>
      </c>
      <c r="T3" s="228" t="s">
        <v>1461</v>
      </c>
      <c r="U3" s="218"/>
      <c r="V3" s="2229"/>
      <c r="W3" s="2230"/>
      <c r="X3" s="2230"/>
      <c r="Y3" s="2230"/>
      <c r="Z3" s="2230"/>
      <c r="AA3" s="2230"/>
      <c r="AB3" s="2231"/>
      <c r="AC3" s="2229" t="e">
        <f>INDEX(PT_DIFFERENTIATION_TER,MATCH(B3,PT_DIFFERENTIATION_TER_ID,0))</f>
        <v>#N/A</v>
      </c>
      <c r="AD3" s="2230"/>
      <c r="AE3" s="2230"/>
      <c r="AF3" s="2230"/>
      <c r="AG3" s="2230"/>
      <c r="AH3" s="2230"/>
      <c r="AI3" s="2230"/>
      <c r="AJ3" s="2231"/>
      <c r="AK3" s="1140" t="s">
        <v>1462</v>
      </c>
      <c r="AM3" s="428"/>
      <c r="AN3" s="428" t="str">
        <f t="shared" si="0"/>
        <v>Территория действия тарифа</v>
      </c>
      <c r="AO3" s="428"/>
      <c r="AP3" s="428"/>
    </row>
    <row r="4" spans="1:42" ht="23.25" hidden="1" customHeight="1">
      <c r="A4" s="1244"/>
      <c r="B4" s="1244"/>
      <c r="C4" s="1244"/>
      <c r="D4" s="1244"/>
      <c r="E4" s="2236"/>
      <c r="F4" s="2236"/>
      <c r="G4" s="2235">
        <v>1</v>
      </c>
      <c r="H4" s="1244"/>
      <c r="I4" s="1244"/>
      <c r="J4" s="1244"/>
      <c r="K4" s="1244"/>
      <c r="L4" s="1245"/>
      <c r="M4" s="1246"/>
      <c r="N4" s="1246"/>
      <c r="O4" s="1246"/>
      <c r="P4" s="278"/>
      <c r="Q4" s="276"/>
      <c r="R4" s="277"/>
      <c r="S4" s="1322" t="e">
        <f>INDEX(PT_DIFFERENTIATION_NUM_CS,MATCH(C4,PT_DIFFERENTIATION_CS_ID,0))</f>
        <v>#N/A</v>
      </c>
      <c r="T4" s="229" t="s">
        <v>1676</v>
      </c>
      <c r="U4" s="218"/>
      <c r="V4" s="2229"/>
      <c r="W4" s="2230"/>
      <c r="X4" s="2230"/>
      <c r="Y4" s="2230"/>
      <c r="Z4" s="2230"/>
      <c r="AA4" s="2230"/>
      <c r="AB4" s="2231"/>
      <c r="AC4" s="2229" t="e">
        <f>INDEX(PT_DIFFERENTIATION_CS,MATCH(C4,PT_DIFFERENTIATION_CS_ID,0))</f>
        <v>#N/A</v>
      </c>
      <c r="AD4" s="2230"/>
      <c r="AE4" s="2230"/>
      <c r="AF4" s="2230"/>
      <c r="AG4" s="2230"/>
      <c r="AH4" s="2230"/>
      <c r="AI4" s="2230"/>
      <c r="AJ4" s="2231"/>
      <c r="AK4" s="1140" t="s">
        <v>1677</v>
      </c>
      <c r="AM4" s="428"/>
      <c r="AN4" s="428" t="str">
        <f t="shared" si="0"/>
        <v>Наименование централизованной системы холодного водоснабжения</v>
      </c>
      <c r="AO4" s="428"/>
      <c r="AP4" s="428"/>
    </row>
    <row r="5" spans="1:42" ht="23.25" hidden="1" customHeight="1">
      <c r="A5" s="1244"/>
      <c r="B5" s="1244"/>
      <c r="C5" s="1244"/>
      <c r="D5" s="1244"/>
      <c r="E5" s="2236"/>
      <c r="F5" s="2236"/>
      <c r="G5" s="2236"/>
      <c r="H5" s="2236"/>
      <c r="I5" s="2237" t="e">
        <f>S4&amp;".1"</f>
        <v>#N/A</v>
      </c>
      <c r="J5" s="1244"/>
      <c r="K5" s="1244"/>
      <c r="L5" s="1245"/>
      <c r="P5" s="2157">
        <v>1</v>
      </c>
      <c r="Q5" s="1315"/>
      <c r="R5" s="280"/>
      <c r="S5" s="1322" t="e">
        <f>$I5</f>
        <v>#N/A</v>
      </c>
      <c r="T5" s="203" t="s">
        <v>1678</v>
      </c>
      <c r="U5" s="218"/>
      <c r="V5" s="2327"/>
      <c r="W5" s="2328"/>
      <c r="X5" s="2328"/>
      <c r="Y5" s="2328"/>
      <c r="Z5" s="2328"/>
      <c r="AA5" s="2328"/>
      <c r="AB5" s="2329"/>
      <c r="AC5" s="2330"/>
      <c r="AD5" s="2331"/>
      <c r="AE5" s="2331"/>
      <c r="AF5" s="2331"/>
      <c r="AG5" s="2331"/>
      <c r="AH5" s="2331"/>
      <c r="AI5" s="2331"/>
      <c r="AJ5" s="2332"/>
      <c r="AK5" s="1140" t="s">
        <v>1679</v>
      </c>
      <c r="AM5" s="428"/>
      <c r="AN5" s="428" t="str">
        <f t="shared" si="0"/>
        <v>Наименование признака дифференциации</v>
      </c>
      <c r="AO5" s="428"/>
      <c r="AP5" s="428"/>
    </row>
    <row r="6" spans="1:42" ht="23.25" hidden="1" customHeight="1">
      <c r="A6" s="1244"/>
      <c r="B6" s="1244"/>
      <c r="C6" s="1244"/>
      <c r="D6" s="1244"/>
      <c r="E6" s="2236"/>
      <c r="F6" s="2236"/>
      <c r="G6" s="2236"/>
      <c r="H6" s="2236"/>
      <c r="I6" s="2238"/>
      <c r="J6" s="2237" t="e">
        <f>I5&amp;".1"</f>
        <v>#N/A</v>
      </c>
      <c r="K6" s="1244"/>
      <c r="L6" s="1245" t="s">
        <v>1470</v>
      </c>
      <c r="P6" s="2157"/>
      <c r="Q6" s="2157">
        <v>1</v>
      </c>
      <c r="R6" s="281"/>
      <c r="S6" s="1322" t="e">
        <f>$J6</f>
        <v>#N/A</v>
      </c>
      <c r="T6" s="204" t="s">
        <v>1471</v>
      </c>
      <c r="U6" s="218"/>
      <c r="V6" s="2224"/>
      <c r="W6" s="2225"/>
      <c r="X6" s="2225"/>
      <c r="Y6" s="2225"/>
      <c r="Z6" s="2225"/>
      <c r="AA6" s="2225"/>
      <c r="AB6" s="2226"/>
      <c r="AC6" s="2224"/>
      <c r="AD6" s="2225"/>
      <c r="AE6" s="2225"/>
      <c r="AF6" s="2225"/>
      <c r="AG6" s="2225"/>
      <c r="AH6" s="2225"/>
      <c r="AI6" s="2225"/>
      <c r="AJ6" s="2226"/>
      <c r="AK6" s="1194" t="s">
        <v>1680</v>
      </c>
      <c r="AM6" s="428"/>
      <c r="AN6" s="428" t="str">
        <f t="shared" si="0"/>
        <v>Группа потребителей</v>
      </c>
      <c r="AO6" s="428"/>
      <c r="AP6" s="428"/>
    </row>
    <row r="7" spans="1:42" ht="23.25" hidden="1" customHeight="1">
      <c r="A7" s="1244"/>
      <c r="B7" s="1244"/>
      <c r="C7" s="1244"/>
      <c r="D7" s="1244"/>
      <c r="E7" s="2236"/>
      <c r="F7" s="2236"/>
      <c r="G7" s="2236"/>
      <c r="H7" s="2236"/>
      <c r="I7" s="2238"/>
      <c r="J7" s="2238"/>
      <c r="K7" s="2237" t="e">
        <f>J6&amp;".1"</f>
        <v>#N/A</v>
      </c>
      <c r="L7" s="1245"/>
      <c r="P7" s="2157"/>
      <c r="Q7" s="2157"/>
      <c r="R7" s="281">
        <v>1</v>
      </c>
      <c r="S7" s="1322" t="e">
        <f>$K7</f>
        <v>#N/A</v>
      </c>
      <c r="T7" s="1306"/>
      <c r="U7" s="218"/>
      <c r="V7" s="1667"/>
      <c r="W7" s="1667"/>
      <c r="X7" s="1669"/>
      <c r="Y7" s="2239"/>
      <c r="Z7" s="2031" t="s">
        <v>66</v>
      </c>
      <c r="AA7" s="2239"/>
      <c r="AB7" s="2031" t="s">
        <v>66</v>
      </c>
      <c r="AC7" s="1667"/>
      <c r="AD7" s="1667"/>
      <c r="AE7" s="1669"/>
      <c r="AF7" s="2239"/>
      <c r="AG7" s="2031" t="s">
        <v>66</v>
      </c>
      <c r="AH7" s="2241"/>
      <c r="AI7" s="2031" t="s">
        <v>66</v>
      </c>
      <c r="AJ7" s="1706"/>
      <c r="AK7" s="233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9" t="e">
        <f ca="1">STRCHECKDATE(V8:AJ8)</f>
        <v>#NAME?</v>
      </c>
      <c r="AM7" s="428"/>
      <c r="AN7" s="428" t="str">
        <f t="shared" si="0"/>
        <v/>
      </c>
      <c r="AO7" s="428"/>
      <c r="AP7" s="428"/>
    </row>
    <row r="8" spans="1:42" ht="0.75" hidden="1" customHeight="1">
      <c r="A8" s="1244"/>
      <c r="B8" s="1244"/>
      <c r="C8" s="1244"/>
      <c r="D8" s="1244"/>
      <c r="E8" s="2236"/>
      <c r="F8" s="2236"/>
      <c r="G8" s="2236"/>
      <c r="H8" s="2236"/>
      <c r="I8" s="2238"/>
      <c r="J8" s="2238"/>
      <c r="K8" s="2237"/>
      <c r="L8" s="1245"/>
      <c r="P8" s="2157"/>
      <c r="Q8" s="2157"/>
      <c r="R8" s="281"/>
      <c r="S8" s="1321"/>
      <c r="T8" s="218"/>
      <c r="U8" s="218"/>
      <c r="V8" s="1668"/>
      <c r="W8" s="1668"/>
      <c r="X8" s="1670" t="str">
        <f>Y7&amp;"-"&amp;AA7</f>
        <v>-</v>
      </c>
      <c r="Y8" s="2240"/>
      <c r="Z8" s="2031"/>
      <c r="AA8" s="2240"/>
      <c r="AB8" s="2031"/>
      <c r="AC8" s="1668"/>
      <c r="AD8" s="1668"/>
      <c r="AE8" s="1670" t="str">
        <f>AF7&amp;"-"&amp;AH7</f>
        <v>-</v>
      </c>
      <c r="AF8" s="2240"/>
      <c r="AG8" s="2031"/>
      <c r="AH8" s="2242"/>
      <c r="AI8" s="2031"/>
      <c r="AJ8" s="1707"/>
      <c r="AK8" s="2333"/>
      <c r="AM8" s="428"/>
      <c r="AN8" s="428" t="str">
        <f t="shared" si="0"/>
        <v/>
      </c>
      <c r="AO8" s="428"/>
      <c r="AP8" s="428"/>
    </row>
    <row r="9" spans="1:42" ht="21" hidden="1" customHeight="1">
      <c r="A9" s="1244"/>
      <c r="B9" s="1244"/>
      <c r="C9" s="1244"/>
      <c r="D9" s="1244"/>
      <c r="E9" s="2236"/>
      <c r="F9" s="2236"/>
      <c r="G9" s="2236"/>
      <c r="H9" s="2236"/>
      <c r="I9" s="2238"/>
      <c r="J9" s="2237"/>
      <c r="K9" s="1244"/>
      <c r="L9" s="1245"/>
      <c r="P9" s="2157"/>
      <c r="Q9" s="2157"/>
      <c r="R9" s="280"/>
      <c r="S9" s="1161"/>
      <c r="T9" s="205" t="s">
        <v>1681</v>
      </c>
      <c r="U9" s="294"/>
      <c r="V9" s="294"/>
      <c r="W9" s="294"/>
      <c r="X9" s="294"/>
      <c r="Y9" s="294"/>
      <c r="Z9" s="294"/>
      <c r="AA9" s="294"/>
      <c r="AB9" s="294"/>
      <c r="AC9" s="294"/>
      <c r="AD9" s="294"/>
      <c r="AE9" s="294"/>
      <c r="AF9" s="294"/>
      <c r="AG9" s="294"/>
      <c r="AH9" s="294"/>
      <c r="AI9" s="294"/>
      <c r="AJ9" s="294"/>
      <c r="AK9" s="1140" t="s">
        <v>1682</v>
      </c>
      <c r="AM9" s="428"/>
      <c r="AN9" s="428" t="str">
        <f t="shared" si="0"/>
        <v>Добавить значение признака дифференциации</v>
      </c>
      <c r="AO9" s="428"/>
      <c r="AP9" s="428"/>
    </row>
    <row r="10" spans="1:42" ht="21" hidden="1" customHeight="1">
      <c r="A10" s="1244"/>
      <c r="B10" s="1244"/>
      <c r="C10" s="1244"/>
      <c r="D10" s="1244"/>
      <c r="E10" s="2236"/>
      <c r="F10" s="2236"/>
      <c r="G10" s="2236"/>
      <c r="H10" s="2236"/>
      <c r="I10" s="2237"/>
      <c r="J10" s="1244"/>
      <c r="K10" s="1244"/>
      <c r="L10" s="1245"/>
      <c r="P10" s="2157"/>
      <c r="Q10" s="1315"/>
      <c r="R10" s="280"/>
      <c r="S10" s="1161"/>
      <c r="T10" s="291" t="s">
        <v>1476</v>
      </c>
      <c r="U10" s="294"/>
      <c r="V10" s="294"/>
      <c r="W10" s="294"/>
      <c r="X10" s="294"/>
      <c r="Y10" s="294"/>
      <c r="Z10" s="294"/>
      <c r="AA10" s="294"/>
      <c r="AB10" s="293"/>
      <c r="AC10" s="294"/>
      <c r="AD10" s="294"/>
      <c r="AE10" s="294"/>
      <c r="AF10" s="294"/>
      <c r="AG10" s="294"/>
      <c r="AH10" s="294"/>
      <c r="AI10" s="293"/>
      <c r="AJ10" s="294"/>
      <c r="AK10" s="1307"/>
      <c r="AM10" s="428"/>
      <c r="AN10" s="428" t="str">
        <f t="shared" si="0"/>
        <v>Добавить группу потребителей</v>
      </c>
      <c r="AO10" s="428"/>
      <c r="AP10" s="428"/>
    </row>
    <row r="11" spans="1:42" ht="21" hidden="1" customHeight="1">
      <c r="A11" s="1244"/>
      <c r="B11" s="1244"/>
      <c r="C11" s="1244"/>
      <c r="D11" s="1244"/>
      <c r="E11" s="2236"/>
      <c r="F11" s="2236"/>
      <c r="G11" s="2236"/>
      <c r="H11" s="2235"/>
      <c r="I11" s="1244"/>
      <c r="J11" s="1244"/>
      <c r="K11" s="1244"/>
      <c r="L11" s="1245"/>
      <c r="M11" s="1246"/>
      <c r="N11" s="1246"/>
      <c r="O11" s="464"/>
      <c r="P11" s="284"/>
      <c r="Q11" s="303"/>
      <c r="R11" s="279"/>
      <c r="S11" s="1161"/>
      <c r="T11" s="299" t="s">
        <v>1683</v>
      </c>
      <c r="U11" s="294"/>
      <c r="V11" s="294"/>
      <c r="W11" s="294"/>
      <c r="X11" s="294"/>
      <c r="Y11" s="294"/>
      <c r="Z11" s="294"/>
      <c r="AA11" s="294"/>
      <c r="AB11" s="293"/>
      <c r="AC11" s="294"/>
      <c r="AD11" s="294"/>
      <c r="AE11" s="294"/>
      <c r="AF11" s="294"/>
      <c r="AG11" s="294"/>
      <c r="AH11" s="294"/>
      <c r="AI11" s="293"/>
      <c r="AJ11" s="294"/>
      <c r="AK11" s="221"/>
      <c r="AM11" s="428"/>
      <c r="AN11" s="428" t="str">
        <f t="shared" si="0"/>
        <v>Добавить наименование признака дифференциации</v>
      </c>
      <c r="AO11" s="428"/>
      <c r="AP11" s="428"/>
    </row>
    <row r="12" spans="1:42" s="1772" customFormat="1" ht="0.75" hidden="1" customHeight="1">
      <c r="A12" s="1228"/>
      <c r="B12" s="1228"/>
      <c r="C12" s="1200"/>
      <c r="D12" s="1200"/>
      <c r="E12" s="2236"/>
      <c r="F12" s="2235"/>
      <c r="G12" s="1200"/>
      <c r="H12" s="1200"/>
      <c r="I12" s="1200"/>
      <c r="J12" s="1200"/>
      <c r="K12" s="1200"/>
      <c r="L12" s="1323"/>
      <c r="M12" s="1207"/>
      <c r="N12" s="1207"/>
      <c r="P12" s="1202"/>
      <c r="Q12" s="1203"/>
      <c r="R12" s="1202"/>
      <c r="S12" s="1208"/>
      <c r="T12" s="1211" t="s">
        <v>1437</v>
      </c>
      <c r="U12" s="1210"/>
      <c r="V12" s="1210"/>
      <c r="W12" s="1210"/>
      <c r="X12" s="1210"/>
      <c r="Y12" s="1210"/>
      <c r="Z12" s="1210"/>
      <c r="AA12" s="1210"/>
      <c r="AB12" s="1210"/>
      <c r="AC12" s="1210"/>
      <c r="AD12" s="1210"/>
      <c r="AE12" s="1210"/>
      <c r="AF12" s="1210"/>
      <c r="AG12" s="1210"/>
      <c r="AH12" s="1210"/>
      <c r="AI12" s="1210"/>
      <c r="AJ12" s="1210"/>
      <c r="AK12" s="1210"/>
      <c r="AM12" s="696"/>
      <c r="AN12" s="696" t="str">
        <f t="shared" si="0"/>
        <v>Добавить централизованную систему для дифференциации</v>
      </c>
      <c r="AO12" s="696"/>
      <c r="AP12" s="696"/>
    </row>
    <row r="13" spans="1:42" s="1772" customFormat="1" ht="0.75" hidden="1" customHeight="1">
      <c r="A13" s="1228"/>
      <c r="B13" s="1228"/>
      <c r="C13" s="1228"/>
      <c r="D13" s="1228"/>
      <c r="E13" s="2235"/>
      <c r="F13" s="1228"/>
      <c r="G13" s="1228"/>
      <c r="H13" s="1228"/>
      <c r="I13" s="1228"/>
      <c r="J13" s="1228"/>
      <c r="K13" s="1228"/>
      <c r="L13" s="1231"/>
      <c r="M13" s="1207"/>
      <c r="N13" s="1207"/>
      <c r="O13" s="446"/>
      <c r="P13" s="311"/>
      <c r="Q13" s="1229"/>
      <c r="R13" s="311"/>
      <c r="S13" s="1208"/>
      <c r="T13" s="1211" t="s">
        <v>1438</v>
      </c>
      <c r="U13" s="1210"/>
      <c r="V13" s="1210"/>
      <c r="W13" s="1210"/>
      <c r="X13" s="1210"/>
      <c r="Y13" s="1210"/>
      <c r="Z13" s="1210"/>
      <c r="AA13" s="1210"/>
      <c r="AB13" s="1210"/>
      <c r="AC13" s="1210"/>
      <c r="AD13" s="1210"/>
      <c r="AE13" s="1210"/>
      <c r="AF13" s="1210"/>
      <c r="AG13" s="1210"/>
      <c r="AH13" s="1210"/>
      <c r="AI13" s="1210"/>
      <c r="AJ13" s="1210"/>
      <c r="AK13" s="1210"/>
      <c r="AM13" s="428"/>
      <c r="AN13" s="428" t="str">
        <f t="shared" si="0"/>
        <v>Добавить территорию для дифференциации</v>
      </c>
      <c r="AO13" s="428"/>
      <c r="AP13" s="428"/>
    </row>
    <row r="14" spans="1:42" ht="14.25" hidden="1" customHeight="1">
      <c r="AB14" s="254"/>
      <c r="AI14" s="254"/>
    </row>
    <row r="15" spans="1:42" ht="14.25" hidden="1" customHeight="1">
      <c r="AC15" s="1671"/>
      <c r="AD15" s="1671"/>
      <c r="AE15" s="1672"/>
      <c r="AF15" s="2233"/>
      <c r="AG15" s="2232" t="s">
        <v>66</v>
      </c>
      <c r="AH15" s="2233"/>
      <c r="AI15" s="2232" t="s">
        <v>66</v>
      </c>
    </row>
    <row r="16" spans="1:42" ht="14.25" hidden="1" customHeight="1">
      <c r="AC16" s="1671"/>
      <c r="AD16" s="1671"/>
      <c r="AE16" s="1670" t="str">
        <f>AF15&amp;"-"&amp;AH15</f>
        <v>-</v>
      </c>
      <c r="AF16" s="2232"/>
      <c r="AG16" s="2232"/>
      <c r="AH16" s="2232"/>
      <c r="AI16" s="2232"/>
    </row>
    <row r="17" spans="1:42" ht="14.25" hidden="1" customHeight="1">
      <c r="AI17" s="254"/>
    </row>
    <row r="18" spans="1:42" s="1759" customFormat="1" ht="22.5" hidden="1" customHeight="1">
      <c r="L18" s="1312"/>
      <c r="M18" s="1243"/>
      <c r="N18" s="1243"/>
      <c r="O18" s="1248" t="s">
        <v>1478</v>
      </c>
      <c r="P18" s="1243"/>
      <c r="Q18" s="1252"/>
      <c r="R18" s="1252"/>
      <c r="S18" s="644"/>
      <c r="Y18" s="1248"/>
      <c r="AA18" s="1248"/>
      <c r="AB18" s="1247"/>
      <c r="AF18" s="1248"/>
      <c r="AH18" s="1248"/>
      <c r="AI18" s="1247"/>
      <c r="AL18" s="439"/>
      <c r="AM18" s="439"/>
      <c r="AN18" s="439"/>
      <c r="AO18" s="439"/>
      <c r="AP18" s="439"/>
    </row>
    <row r="19" spans="1:42" s="1759" customFormat="1" ht="14.25" hidden="1" customHeight="1">
      <c r="L19" s="1312"/>
      <c r="M19" s="1243"/>
      <c r="N19" s="1243"/>
      <c r="O19" s="1243"/>
      <c r="P19" s="1243"/>
      <c r="Q19" s="1252"/>
      <c r="R19" s="1252"/>
      <c r="S19" s="644"/>
      <c r="AB19" s="1247"/>
      <c r="AI19" s="1247"/>
      <c r="AL19" s="439"/>
      <c r="AM19" s="439"/>
      <c r="AN19" s="439"/>
      <c r="AO19" s="439"/>
      <c r="AP19" s="439"/>
    </row>
    <row r="20" spans="1:42" s="1759" customFormat="1" ht="12" hidden="1" customHeight="1">
      <c r="L20" s="1312"/>
      <c r="M20" s="1243"/>
      <c r="N20" s="1243"/>
      <c r="O20" s="1245" t="s">
        <v>1479</v>
      </c>
      <c r="P20" s="1243"/>
      <c r="Q20" s="1308"/>
      <c r="R20" s="1308"/>
      <c r="S20" s="644"/>
      <c r="T20" s="1036" t="s">
        <v>1480</v>
      </c>
      <c r="Z20" s="111" t="s">
        <v>1481</v>
      </c>
      <c r="AB20" s="111" t="s">
        <v>1482</v>
      </c>
      <c r="AC20" s="1036" t="s">
        <v>1480</v>
      </c>
      <c r="AG20" s="111" t="s">
        <v>1483</v>
      </c>
      <c r="AI20" s="111" t="s">
        <v>1482</v>
      </c>
    </row>
    <row r="21" spans="1:42" ht="14.25" hidden="1" customHeight="1">
      <c r="O21" s="1245"/>
    </row>
    <row r="22" spans="1:42" ht="14.25" hidden="1" customHeight="1">
      <c r="O22" s="1245"/>
    </row>
    <row r="23" spans="1:42" ht="14.25" customHeight="1">
      <c r="Q23" s="304"/>
      <c r="R23" s="304"/>
      <c r="S23" s="1158"/>
      <c r="T23" s="289"/>
      <c r="U23" s="289"/>
      <c r="V23" s="437"/>
      <c r="W23" s="437"/>
      <c r="X23" s="437"/>
      <c r="Y23" s="437"/>
      <c r="Z23" s="437"/>
      <c r="AA23" s="437"/>
      <c r="AB23" s="437"/>
      <c r="AC23" s="437"/>
      <c r="AD23" s="437"/>
      <c r="AE23" s="437"/>
      <c r="AF23" s="437"/>
      <c r="AG23" s="437"/>
      <c r="AH23" s="437"/>
      <c r="AI23" s="437"/>
    </row>
    <row r="24" spans="1:42" ht="32.25" customHeight="1">
      <c r="Q24" s="304"/>
      <c r="R24" s="304"/>
      <c r="S24" s="2079"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079"/>
      <c r="U24" s="2079"/>
      <c r="V24" s="2079"/>
      <c r="W24" s="2079"/>
      <c r="X24" s="2079"/>
      <c r="Y24" s="2079"/>
      <c r="Z24" s="2079"/>
      <c r="AA24" s="2079"/>
      <c r="AB24" s="2079"/>
      <c r="AC24" s="2079"/>
      <c r="AD24" s="2079"/>
      <c r="AE24" s="2079"/>
      <c r="AF24" s="2079"/>
      <c r="AG24" s="2079"/>
      <c r="AH24" s="2079"/>
      <c r="AI24" s="1116"/>
    </row>
    <row r="25" spans="1:42" ht="14.25" customHeight="1">
      <c r="Q25" s="304"/>
      <c r="R25" s="304"/>
      <c r="S25" s="2102" t="str">
        <f>IF(org=0,"Не определено",org)</f>
        <v>ООО "Автозаводская ТЭЦ"</v>
      </c>
      <c r="T25" s="2102"/>
      <c r="U25" s="2102"/>
      <c r="V25" s="2102"/>
      <c r="W25" s="2102"/>
      <c r="X25" s="2102"/>
      <c r="Y25" s="2102"/>
      <c r="Z25" s="2102"/>
      <c r="AA25" s="2102"/>
      <c r="AB25" s="2102"/>
      <c r="AC25" s="2102"/>
      <c r="AD25" s="2102"/>
      <c r="AE25" s="2102"/>
      <c r="AF25" s="2102"/>
      <c r="AG25" s="2102"/>
      <c r="AH25" s="2102"/>
      <c r="AI25" s="1116"/>
    </row>
    <row r="26" spans="1:42" ht="14.25" hidden="1" customHeight="1">
      <c r="Q26" s="304"/>
      <c r="R26" s="304"/>
      <c r="S26" s="1158"/>
      <c r="T26" s="289"/>
      <c r="U26" s="289"/>
      <c r="V26" s="248"/>
      <c r="W26" s="248"/>
      <c r="X26" s="248"/>
      <c r="Y26" s="248"/>
      <c r="Z26" s="248"/>
      <c r="AA26" s="248"/>
      <c r="AB26" s="248"/>
      <c r="AC26" s="248"/>
      <c r="AD26" s="248"/>
      <c r="AE26" s="248"/>
      <c r="AF26" s="248"/>
      <c r="AG26" s="248"/>
      <c r="AH26" s="248"/>
      <c r="AI26" s="248"/>
      <c r="AJ26" s="437"/>
    </row>
    <row r="27" spans="1:42" s="1950" customFormat="1" ht="25.5" hidden="1" customHeight="1">
      <c r="A27" s="1249"/>
      <c r="B27" s="1249"/>
      <c r="C27" s="1249"/>
      <c r="D27" s="1249"/>
      <c r="E27" s="1249"/>
      <c r="F27" s="1249"/>
      <c r="G27" s="1249"/>
      <c r="H27" s="1249"/>
      <c r="I27" s="1249"/>
      <c r="J27" s="1249"/>
      <c r="K27" s="1249"/>
      <c r="L27" s="1250"/>
      <c r="M27" s="1249"/>
      <c r="N27" s="1249"/>
      <c r="O27" s="1249"/>
      <c r="S27" s="2227" t="s">
        <v>38</v>
      </c>
      <c r="T27" s="2227"/>
      <c r="U27" s="1253"/>
      <c r="V27" s="2228" t="str">
        <f>IF(TITLE_NAME_OR_PR_CHANGE="",IF(TITLE_NAME_OR_PR="","",TITLE_NAME_OR_PR),TITLE_NAME_OR_PR_CHANGE)</f>
        <v/>
      </c>
      <c r="W27" s="2228"/>
      <c r="X27" s="2228"/>
      <c r="Y27" s="2228"/>
      <c r="Z27" s="2228"/>
      <c r="AA27" s="2228"/>
      <c r="AB27" s="253"/>
      <c r="AC27" s="2228" t="str">
        <f>IF(TITLE_NAME_OR_PR_CHANGE="",IF(TITLE_NAME_OR_PR="","",TITLE_NAME_OR_PR),TITLE_NAME_OR_PR_CHANGE)</f>
        <v/>
      </c>
      <c r="AD27" s="2228"/>
      <c r="AE27" s="2228"/>
      <c r="AF27" s="2228"/>
      <c r="AG27" s="2228"/>
      <c r="AH27" s="2228"/>
      <c r="AI27" s="253"/>
      <c r="AJ27" s="253"/>
      <c r="AK27" s="199"/>
      <c r="AL27" s="295"/>
      <c r="AM27" s="295"/>
      <c r="AN27" s="295"/>
      <c r="AO27" s="295"/>
      <c r="AP27" s="295"/>
    </row>
    <row r="28" spans="1:42" s="1950" customFormat="1" ht="18.75" hidden="1" customHeight="1">
      <c r="A28" s="1249"/>
      <c r="B28" s="1249"/>
      <c r="C28" s="1249"/>
      <c r="D28" s="1249"/>
      <c r="E28" s="1249"/>
      <c r="F28" s="1249"/>
      <c r="G28" s="1249"/>
      <c r="H28" s="1249"/>
      <c r="I28" s="1249"/>
      <c r="J28" s="1249"/>
      <c r="K28" s="1249"/>
      <c r="L28" s="1250"/>
      <c r="M28" s="1249"/>
      <c r="N28" s="1249"/>
      <c r="O28" s="1249"/>
      <c r="S28" s="2227" t="s">
        <v>1484</v>
      </c>
      <c r="T28" s="2227"/>
      <c r="U28" s="1253"/>
      <c r="V28" s="2228" t="str">
        <f>IF(TITLE_DATE_CHANGE_PERIOD="",IF(TITLE_DATE_PR="","",TITLE_DATE_PR),TITLE_DATE_CHANGE_PERIOD)</f>
        <v/>
      </c>
      <c r="W28" s="2228"/>
      <c r="X28" s="2228"/>
      <c r="Y28" s="2228"/>
      <c r="Z28" s="2228"/>
      <c r="AA28" s="2228"/>
      <c r="AB28" s="253"/>
      <c r="AC28" s="2228" t="str">
        <f>IF(TITLE_DATE_CHANGE_PERIOD="",IF(TITLE_DATE_PR="","",TITLE_DATE_PR),TITLE_DATE_CHANGE_PERIOD)</f>
        <v/>
      </c>
      <c r="AD28" s="2228"/>
      <c r="AE28" s="2228"/>
      <c r="AF28" s="2228"/>
      <c r="AG28" s="2228"/>
      <c r="AH28" s="2228"/>
      <c r="AI28" s="253"/>
      <c r="AJ28" s="253"/>
      <c r="AK28" s="199"/>
      <c r="AL28" s="295"/>
      <c r="AM28" s="295"/>
      <c r="AN28" s="295"/>
      <c r="AO28" s="295"/>
      <c r="AP28" s="295"/>
    </row>
    <row r="29" spans="1:42" s="1950" customFormat="1" ht="18.75" hidden="1" customHeight="1">
      <c r="A29" s="1249"/>
      <c r="B29" s="1249"/>
      <c r="C29" s="1249"/>
      <c r="D29" s="1249"/>
      <c r="E29" s="1249"/>
      <c r="F29" s="1249"/>
      <c r="G29" s="1249"/>
      <c r="H29" s="1249"/>
      <c r="I29" s="1249"/>
      <c r="J29" s="1249"/>
      <c r="K29" s="1249"/>
      <c r="L29" s="1250"/>
      <c r="M29" s="1249"/>
      <c r="N29" s="1249"/>
      <c r="O29" s="1249"/>
      <c r="S29" s="2227" t="s">
        <v>1485</v>
      </c>
      <c r="T29" s="2227"/>
      <c r="U29" s="1253"/>
      <c r="V29" s="2228" t="str">
        <f>IF(TITLE_NUMBER_PR_CHANGE="",IF(TITLE_NUMBER_PR="","",TITLE_NUMBER_PR),TITLE_NUMBER_PR_CHANGE)</f>
        <v/>
      </c>
      <c r="W29" s="2228"/>
      <c r="X29" s="2228"/>
      <c r="Y29" s="2228"/>
      <c r="Z29" s="2228"/>
      <c r="AA29" s="2228"/>
      <c r="AB29" s="253"/>
      <c r="AC29" s="2228" t="str">
        <f>IF(TITLE_NUMBER_PR_CHANGE="",IF(TITLE_NUMBER_PR="","",TITLE_NUMBER_PR),TITLE_NUMBER_PR_CHANGE)</f>
        <v/>
      </c>
      <c r="AD29" s="2228"/>
      <c r="AE29" s="2228"/>
      <c r="AF29" s="2228"/>
      <c r="AG29" s="2228"/>
      <c r="AH29" s="2228"/>
      <c r="AI29" s="253"/>
      <c r="AJ29" s="253"/>
      <c r="AK29" s="199"/>
      <c r="AL29" s="295"/>
      <c r="AM29" s="295"/>
      <c r="AN29" s="295"/>
      <c r="AO29" s="295"/>
      <c r="AP29" s="295"/>
    </row>
    <row r="30" spans="1:42" s="1950" customFormat="1" ht="18.75" hidden="1" customHeight="1">
      <c r="A30" s="1249"/>
      <c r="B30" s="1249"/>
      <c r="C30" s="1249"/>
      <c r="D30" s="1249"/>
      <c r="E30" s="1249"/>
      <c r="F30" s="1249"/>
      <c r="G30" s="1249"/>
      <c r="H30" s="1249"/>
      <c r="I30" s="1249"/>
      <c r="J30" s="1249"/>
      <c r="K30" s="1249"/>
      <c r="L30" s="1250"/>
      <c r="M30" s="1249"/>
      <c r="N30" s="1249"/>
      <c r="O30" s="1249"/>
      <c r="S30" s="2227" t="s">
        <v>39</v>
      </c>
      <c r="T30" s="2227"/>
      <c r="U30" s="1253"/>
      <c r="V30" s="2228" t="str">
        <f>IF(TITLE_IST_PUB_CHANGE="",IF(TITLE_IST_PUB="","",TITLE_IST_PUB),TITLE_IST_PUB_CHANGE)</f>
        <v/>
      </c>
      <c r="W30" s="2228"/>
      <c r="X30" s="2228"/>
      <c r="Y30" s="2228"/>
      <c r="Z30" s="2228"/>
      <c r="AA30" s="2228"/>
      <c r="AB30" s="253"/>
      <c r="AC30" s="2228" t="str">
        <f>IF(TITLE_IST_PUB_CHANGE="",IF(TITLE_IST_PUB="","",TITLE_IST_PUB),TITLE_IST_PUB_CHANGE)</f>
        <v/>
      </c>
      <c r="AD30" s="2228"/>
      <c r="AE30" s="2228"/>
      <c r="AF30" s="2228"/>
      <c r="AG30" s="2228"/>
      <c r="AH30" s="2228"/>
      <c r="AI30" s="253"/>
      <c r="AJ30" s="253"/>
      <c r="AK30" s="199"/>
      <c r="AL30" s="295"/>
      <c r="AM30" s="295"/>
      <c r="AN30" s="295"/>
      <c r="AO30" s="295"/>
      <c r="AP30" s="295"/>
    </row>
    <row r="31" spans="1:42" ht="14.25" hidden="1" customHeight="1">
      <c r="Q31" s="304"/>
      <c r="R31" s="304"/>
      <c r="S31" s="1158"/>
      <c r="T31" s="289"/>
      <c r="U31" s="289"/>
      <c r="V31" s="248"/>
      <c r="W31" s="248"/>
      <c r="X31" s="248"/>
      <c r="Y31" s="248"/>
      <c r="Z31" s="248"/>
      <c r="AA31" s="248"/>
      <c r="AB31" s="248"/>
      <c r="AC31" s="248"/>
      <c r="AD31" s="248"/>
      <c r="AE31" s="248"/>
      <c r="AF31" s="248"/>
      <c r="AG31" s="248"/>
      <c r="AH31" s="248"/>
      <c r="AI31" s="248"/>
      <c r="AJ31" s="437"/>
    </row>
    <row r="32" spans="1:42" s="1950" customFormat="1" ht="18.75" hidden="1" customHeight="1">
      <c r="A32" s="1249"/>
      <c r="B32" s="1249"/>
      <c r="C32" s="1249"/>
      <c r="D32" s="1249"/>
      <c r="E32" s="1249"/>
      <c r="F32" s="1249"/>
      <c r="G32" s="1249"/>
      <c r="H32" s="1249"/>
      <c r="I32" s="1249"/>
      <c r="J32" s="1249"/>
      <c r="K32" s="1249"/>
      <c r="L32" s="1250"/>
      <c r="M32" s="1249"/>
      <c r="N32" s="1249"/>
      <c r="O32" s="1249"/>
      <c r="S32" s="2227" t="s">
        <v>1486</v>
      </c>
      <c r="T32" s="2227"/>
      <c r="U32" s="1253"/>
      <c r="V32" s="2228" t="str">
        <f>IF(TITLE_DATE_CHANGE_PERIOD="",IF(TITLE_DATE_PR="","",TITLE_DATE_PR),TITLE_DATE_CHANGE_PERIOD)</f>
        <v/>
      </c>
      <c r="W32" s="2228"/>
      <c r="X32" s="2228"/>
      <c r="Y32" s="2228"/>
      <c r="Z32" s="2228"/>
      <c r="AA32" s="2228"/>
      <c r="AB32" s="253"/>
      <c r="AC32" s="2228" t="str">
        <f>IF(TITLE_DATE_CHANGE_PERIOD="",IF(TITLE_DATE_PR="","",TITLE_DATE_PR),TITLE_DATE_CHANGE_PERIOD)</f>
        <v/>
      </c>
      <c r="AD32" s="2228"/>
      <c r="AE32" s="2228"/>
      <c r="AF32" s="2228"/>
      <c r="AG32" s="2228"/>
      <c r="AH32" s="2228"/>
      <c r="AI32" s="253"/>
      <c r="AJ32" s="253"/>
      <c r="AK32" s="199"/>
      <c r="AL32" s="295"/>
      <c r="AM32" s="295"/>
      <c r="AN32" s="295"/>
      <c r="AO32" s="295"/>
      <c r="AP32" s="295"/>
    </row>
    <row r="33" spans="1:42" s="1950" customFormat="1" ht="18.75" hidden="1" customHeight="1">
      <c r="A33" s="1249"/>
      <c r="B33" s="1249"/>
      <c r="C33" s="1249"/>
      <c r="D33" s="1249"/>
      <c r="E33" s="1249"/>
      <c r="F33" s="1249"/>
      <c r="G33" s="1249"/>
      <c r="H33" s="1249"/>
      <c r="I33" s="1249"/>
      <c r="J33" s="1249"/>
      <c r="K33" s="1249"/>
      <c r="L33" s="1250"/>
      <c r="M33" s="1249"/>
      <c r="N33" s="1249"/>
      <c r="O33" s="1249"/>
      <c r="S33" s="2227" t="s">
        <v>1487</v>
      </c>
      <c r="T33" s="2227"/>
      <c r="U33" s="1253"/>
      <c r="V33" s="2228" t="str">
        <f>IF(TITLE_NUMBER_PR_CHANGE="",IF(TITLE_NUMBER_PR="","",TITLE_NUMBER_PR),TITLE_NUMBER_PR_CHANGE)</f>
        <v/>
      </c>
      <c r="W33" s="2228"/>
      <c r="X33" s="2228"/>
      <c r="Y33" s="2228"/>
      <c r="Z33" s="2228"/>
      <c r="AA33" s="2228"/>
      <c r="AB33" s="253"/>
      <c r="AC33" s="2228" t="str">
        <f>IF(TITLE_NUMBER_PR_CHANGE="",IF(TITLE_NUMBER_PR="","",TITLE_NUMBER_PR),TITLE_NUMBER_PR_CHANGE)</f>
        <v/>
      </c>
      <c r="AD33" s="2228"/>
      <c r="AE33" s="2228"/>
      <c r="AF33" s="2228"/>
      <c r="AG33" s="2228"/>
      <c r="AH33" s="2228"/>
      <c r="AI33" s="253"/>
      <c r="AJ33" s="253"/>
      <c r="AK33" s="199"/>
      <c r="AL33" s="295"/>
      <c r="AM33" s="295"/>
      <c r="AN33" s="295"/>
      <c r="AO33" s="295"/>
      <c r="AP33" s="295"/>
    </row>
    <row r="34" spans="1:42" s="1950" customFormat="1" ht="0.75" customHeight="1">
      <c r="A34" s="1249"/>
      <c r="B34" s="1249"/>
      <c r="C34" s="1249"/>
      <c r="D34" s="1249"/>
      <c r="E34" s="1249"/>
      <c r="F34" s="1249"/>
      <c r="G34" s="1249"/>
      <c r="H34" s="1249"/>
      <c r="I34" s="1249"/>
      <c r="J34" s="1249"/>
      <c r="K34" s="1249"/>
      <c r="L34" s="1250"/>
      <c r="M34" s="1249"/>
      <c r="N34" s="1249"/>
      <c r="O34" s="1249"/>
      <c r="S34" s="250"/>
      <c r="T34" s="250"/>
      <c r="U34" s="1319"/>
      <c r="V34" s="253"/>
      <c r="W34" s="253"/>
      <c r="X34" s="253"/>
      <c r="Y34" s="253"/>
      <c r="Z34" s="253"/>
      <c r="AA34" s="253"/>
      <c r="AB34" s="197" t="s">
        <v>1488</v>
      </c>
      <c r="AC34" s="253"/>
      <c r="AD34" s="253"/>
      <c r="AE34" s="253"/>
      <c r="AF34" s="253"/>
      <c r="AG34" s="253"/>
      <c r="AH34" s="253"/>
      <c r="AI34" s="197" t="s">
        <v>1488</v>
      </c>
      <c r="AL34" s="295"/>
      <c r="AM34" s="295"/>
      <c r="AN34" s="295"/>
      <c r="AO34" s="295"/>
      <c r="AP34" s="295"/>
    </row>
    <row r="35" spans="1:42" ht="14.25" customHeight="1">
      <c r="Q35" s="304"/>
      <c r="R35" s="304"/>
      <c r="S35" s="1158"/>
      <c r="T35" s="289"/>
      <c r="U35" s="1117"/>
      <c r="V35" s="2246"/>
      <c r="W35" s="2246"/>
      <c r="X35" s="2246"/>
      <c r="Y35" s="2246"/>
      <c r="Z35" s="2246"/>
      <c r="AA35" s="2246"/>
      <c r="AB35" s="2246"/>
      <c r="AC35" s="2246"/>
      <c r="AD35" s="2246"/>
      <c r="AE35" s="2246"/>
      <c r="AF35" s="2246"/>
      <c r="AG35" s="2246"/>
      <c r="AH35" s="2246"/>
      <c r="AI35" s="2246"/>
    </row>
    <row r="36" spans="1:42" ht="14.25" customHeight="1">
      <c r="Q36" s="304"/>
      <c r="R36" s="304"/>
      <c r="S36" s="2021" t="s">
        <v>292</v>
      </c>
      <c r="T36" s="2021"/>
      <c r="U36" s="2021"/>
      <c r="V36" s="2021"/>
      <c r="W36" s="2021"/>
      <c r="X36" s="2021"/>
      <c r="Y36" s="2021"/>
      <c r="Z36" s="2021"/>
      <c r="AA36" s="2021"/>
      <c r="AB36" s="2021"/>
      <c r="AC36" s="2021"/>
      <c r="AD36" s="2021"/>
      <c r="AE36" s="2021"/>
      <c r="AF36" s="2021"/>
      <c r="AG36" s="2021"/>
      <c r="AH36" s="2021"/>
      <c r="AI36" s="2021"/>
      <c r="AJ36" s="2021"/>
      <c r="AK36" s="2021" t="s">
        <v>293</v>
      </c>
    </row>
    <row r="37" spans="1:42" ht="14.25" customHeight="1">
      <c r="Q37" s="304"/>
      <c r="R37" s="304"/>
      <c r="S37" s="2247" t="s">
        <v>88</v>
      </c>
      <c r="T37" s="2111" t="s">
        <v>1489</v>
      </c>
      <c r="U37" s="219"/>
      <c r="V37" s="2248" t="s">
        <v>1490</v>
      </c>
      <c r="W37" s="2249"/>
      <c r="X37" s="2249"/>
      <c r="Y37" s="2249"/>
      <c r="Z37" s="2249"/>
      <c r="AA37" s="2250"/>
      <c r="AB37" s="2251" t="s">
        <v>1491</v>
      </c>
      <c r="AC37" s="2248" t="s">
        <v>1490</v>
      </c>
      <c r="AD37" s="2249"/>
      <c r="AE37" s="2249"/>
      <c r="AF37" s="2249"/>
      <c r="AG37" s="2249"/>
      <c r="AH37" s="2250"/>
      <c r="AI37" s="2251" t="s">
        <v>1492</v>
      </c>
      <c r="AJ37" s="2254" t="s">
        <v>1493</v>
      </c>
      <c r="AK37" s="2021"/>
    </row>
    <row r="38" spans="1:42" ht="33.75" customHeight="1">
      <c r="Q38" s="304"/>
      <c r="R38" s="304"/>
      <c r="S38" s="2247"/>
      <c r="T38" s="2111"/>
      <c r="U38" s="924"/>
      <c r="V38" s="1317" t="s">
        <v>1684</v>
      </c>
      <c r="W38" s="2003" t="s">
        <v>1496</v>
      </c>
      <c r="X38" s="2002"/>
      <c r="Y38" s="2003" t="s">
        <v>1497</v>
      </c>
      <c r="Z38" s="2008"/>
      <c r="AA38" s="2002"/>
      <c r="AB38" s="2252"/>
      <c r="AC38" s="1317" t="s">
        <v>1684</v>
      </c>
      <c r="AD38" s="2003" t="s">
        <v>1496</v>
      </c>
      <c r="AE38" s="2002"/>
      <c r="AF38" s="2003" t="s">
        <v>1497</v>
      </c>
      <c r="AG38" s="2008"/>
      <c r="AH38" s="2002"/>
      <c r="AI38" s="2252"/>
      <c r="AJ38" s="2255"/>
      <c r="AK38" s="2021"/>
    </row>
    <row r="39" spans="1:42" ht="33.75" customHeight="1">
      <c r="A39" s="1251"/>
      <c r="B39" s="1251" t="s">
        <v>136</v>
      </c>
      <c r="C39" s="1251" t="s">
        <v>137</v>
      </c>
      <c r="D39" s="1251" t="s">
        <v>138</v>
      </c>
      <c r="E39" s="1245" t="s">
        <v>1498</v>
      </c>
      <c r="F39" s="1245" t="s">
        <v>1499</v>
      </c>
      <c r="G39" s="1245" t="s">
        <v>1500</v>
      </c>
      <c r="H39" s="1245"/>
      <c r="I39" s="1245" t="s">
        <v>1685</v>
      </c>
      <c r="J39" s="1245" t="s">
        <v>1503</v>
      </c>
      <c r="K39" s="1245" t="s">
        <v>1686</v>
      </c>
      <c r="L39" s="1245" t="s">
        <v>1479</v>
      </c>
      <c r="Q39" s="304"/>
      <c r="R39" s="304"/>
      <c r="S39" s="2247"/>
      <c r="T39" s="2111"/>
      <c r="U39" s="220"/>
      <c r="V39" s="1317" t="s">
        <v>1687</v>
      </c>
      <c r="W39" s="1092" t="s">
        <v>1688</v>
      </c>
      <c r="X39" s="1092" t="s">
        <v>1689</v>
      </c>
      <c r="Y39" s="1320" t="s">
        <v>1507</v>
      </c>
      <c r="Z39" s="2117" t="s">
        <v>1508</v>
      </c>
      <c r="AA39" s="2131"/>
      <c r="AB39" s="2253"/>
      <c r="AC39" s="1317" t="s">
        <v>1687</v>
      </c>
      <c r="AD39" s="1092" t="s">
        <v>1688</v>
      </c>
      <c r="AE39" s="1092" t="s">
        <v>1689</v>
      </c>
      <c r="AF39" s="1320" t="s">
        <v>1507</v>
      </c>
      <c r="AG39" s="2117" t="s">
        <v>1508</v>
      </c>
      <c r="AH39" s="2131"/>
      <c r="AI39" s="2253"/>
      <c r="AJ39" s="2256"/>
      <c r="AK39" s="2021"/>
    </row>
    <row r="40" spans="1:42" s="1720" customFormat="1" ht="11.25" hidden="1" customHeight="1">
      <c r="A40" s="1251"/>
      <c r="B40" s="1251"/>
      <c r="C40" s="1251"/>
      <c r="D40" s="1251"/>
      <c r="E40" s="1251"/>
      <c r="F40" s="1251"/>
      <c r="G40" s="1251"/>
      <c r="H40" s="1251"/>
      <c r="I40" s="1251"/>
      <c r="J40" s="1251"/>
      <c r="K40" s="1251"/>
      <c r="L40" s="1245"/>
      <c r="M40" s="1243"/>
      <c r="N40" s="1243"/>
      <c r="O40" s="1243"/>
      <c r="P40" s="1119"/>
      <c r="Q40" s="1120"/>
      <c r="R40" s="1135">
        <v>1</v>
      </c>
      <c r="S40" s="1160" t="s">
        <v>109</v>
      </c>
      <c r="T40" s="1136" t="s">
        <v>110</v>
      </c>
      <c r="U40" s="1118" t="str">
        <f ca="1">OFFSET(U40,0,-1)</f>
        <v>2</v>
      </c>
      <c r="V40" s="1316">
        <f ca="1">OFFSET(V40,0,-1)+1</f>
        <v>3</v>
      </c>
      <c r="W40" s="1316">
        <f ca="1">OFFSET(W40,0,-1)+1</f>
        <v>4</v>
      </c>
      <c r="X40" s="1316">
        <f ca="1">OFFSET(X40,0,-1)+1</f>
        <v>5</v>
      </c>
      <c r="Y40" s="1316">
        <f ca="1">OFFSET(Y40,0,-1)+1</f>
        <v>6</v>
      </c>
      <c r="Z40" s="2245">
        <f ca="1">OFFSET(Z40,0,-1)+1</f>
        <v>7</v>
      </c>
      <c r="AA40" s="2245"/>
      <c r="AB40" s="1316">
        <f ca="1">OFFSET(AB40,0,-2)+1</f>
        <v>8</v>
      </c>
      <c r="AC40" s="1316">
        <f ca="1">OFFSET(AC40,0,-1)+1</f>
        <v>9</v>
      </c>
      <c r="AD40" s="1316">
        <f ca="1">OFFSET(AD40,0,-1)+1</f>
        <v>10</v>
      </c>
      <c r="AE40" s="1316">
        <f ca="1">OFFSET(AE40,0,-1)+1</f>
        <v>11</v>
      </c>
      <c r="AF40" s="1316">
        <f ca="1">OFFSET(AF40,0,-1)+1</f>
        <v>12</v>
      </c>
      <c r="AG40" s="2245">
        <f ca="1">OFFSET(AG40,0,-1)+1</f>
        <v>13</v>
      </c>
      <c r="AH40" s="2245"/>
      <c r="AI40" s="1316">
        <f ca="1">OFFSET(AI40,0,-2)+1</f>
        <v>14</v>
      </c>
      <c r="AJ40" s="1118">
        <f ca="1">OFFSET(AJ40,0,-1)</f>
        <v>14</v>
      </c>
      <c r="AK40" s="1316">
        <f ca="1">OFFSET(AK40,0,-1)+1</f>
        <v>15</v>
      </c>
      <c r="AL40" s="439"/>
      <c r="AM40" s="439"/>
      <c r="AN40" s="439"/>
      <c r="AO40" s="439"/>
      <c r="AP40" s="439"/>
    </row>
    <row r="41" spans="1:42" ht="23.25" customHeight="1">
      <c r="A41" s="1244" t="s">
        <v>233</v>
      </c>
      <c r="B41" s="1244"/>
      <c r="C41" s="1244"/>
      <c r="D41" s="1244"/>
      <c r="E41" s="2235">
        <v>1</v>
      </c>
      <c r="F41" s="1244"/>
      <c r="G41" s="1244"/>
      <c r="H41" s="1244"/>
      <c r="I41" s="1244"/>
      <c r="J41" s="1244"/>
      <c r="K41" s="1244"/>
      <c r="L41" s="1245"/>
      <c r="M41" s="1246"/>
      <c r="N41" s="1246"/>
      <c r="O41" s="1246"/>
      <c r="P41" s="285"/>
      <c r="Q41" s="284"/>
      <c r="R41" s="279"/>
      <c r="S41" s="1322">
        <f>INDEX(PT_DIFFERENTIATION_NUM_NTAR,MATCH(A41,PT_DIFFERENTIATION_NTAR_ID,0))</f>
        <v>0</v>
      </c>
      <c r="T41" s="216" t="s">
        <v>124</v>
      </c>
      <c r="U41" s="218"/>
      <c r="V41" s="2229"/>
      <c r="W41" s="2230"/>
      <c r="X41" s="2230"/>
      <c r="Y41" s="2230"/>
      <c r="Z41" s="2230"/>
      <c r="AA41" s="2230"/>
      <c r="AB41" s="2231"/>
      <c r="AC41" s="2229" t="str">
        <f>INDEX(PT_DIFFERENTIATION_NTAR,MATCH(A41,PT_DIFFERENTIATION_NTAR_ID,0))</f>
        <v/>
      </c>
      <c r="AD41" s="2230"/>
      <c r="AE41" s="2230"/>
      <c r="AF41" s="2230"/>
      <c r="AG41" s="2230"/>
      <c r="AH41" s="2230"/>
      <c r="AI41" s="2230"/>
      <c r="AJ41" s="2231"/>
      <c r="AK41" s="114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8"/>
      <c r="AN41" s="428" t="str">
        <f t="shared" ref="AN41:AN53" si="1">IF(T41="","",T41)</f>
        <v>Наименование тарифа</v>
      </c>
      <c r="AO41" s="428"/>
      <c r="AP41" s="428"/>
    </row>
    <row r="42" spans="1:42" ht="23.25" customHeight="1">
      <c r="A42" s="1244" t="s">
        <v>233</v>
      </c>
      <c r="B42" s="1244" t="s">
        <v>234</v>
      </c>
      <c r="C42" s="1244"/>
      <c r="D42" s="1244"/>
      <c r="E42" s="2236"/>
      <c r="F42" s="2235">
        <v>1</v>
      </c>
      <c r="G42" s="1244"/>
      <c r="H42" s="1244"/>
      <c r="I42" s="1244"/>
      <c r="J42" s="1244"/>
      <c r="K42" s="1244"/>
      <c r="L42" s="1245"/>
      <c r="M42" s="1246"/>
      <c r="N42" s="1246"/>
      <c r="O42" s="1246"/>
      <c r="P42" s="1318"/>
      <c r="Q42" s="276"/>
      <c r="R42" s="277"/>
      <c r="S42" s="1322" t="str">
        <f>INDEX(PT_DIFFERENTIATION_NUM_TER,MATCH(B42,PT_DIFFERENTIATION_TER_ID,0))</f>
        <v>.</v>
      </c>
      <c r="T42" s="228" t="s">
        <v>1461</v>
      </c>
      <c r="U42" s="218"/>
      <c r="V42" s="2229"/>
      <c r="W42" s="2230"/>
      <c r="X42" s="2230"/>
      <c r="Y42" s="2230"/>
      <c r="Z42" s="2230"/>
      <c r="AA42" s="2230"/>
      <c r="AB42" s="2231"/>
      <c r="AC42" s="2229" t="str">
        <f>INDEX(PT_DIFFERENTIATION_TER,MATCH(B42,PT_DIFFERENTIATION_TER_ID,0))</f>
        <v/>
      </c>
      <c r="AD42" s="2230"/>
      <c r="AE42" s="2230"/>
      <c r="AF42" s="2230"/>
      <c r="AG42" s="2230"/>
      <c r="AH42" s="2230"/>
      <c r="AI42" s="2230"/>
      <c r="AJ42" s="2231"/>
      <c r="AK42" s="1140" t="s">
        <v>1462</v>
      </c>
      <c r="AM42" s="428"/>
      <c r="AN42" s="428" t="str">
        <f t="shared" si="1"/>
        <v>Территория действия тарифа</v>
      </c>
      <c r="AO42" s="428"/>
      <c r="AP42" s="428"/>
    </row>
    <row r="43" spans="1:42" ht="23.25" customHeight="1">
      <c r="A43" s="1244" t="s">
        <v>233</v>
      </c>
      <c r="B43" s="1244" t="s">
        <v>234</v>
      </c>
      <c r="C43" s="1244" t="s">
        <v>235</v>
      </c>
      <c r="D43" s="1244"/>
      <c r="E43" s="2236"/>
      <c r="F43" s="2236"/>
      <c r="G43" s="2235">
        <v>1</v>
      </c>
      <c r="H43" s="1244"/>
      <c r="I43" s="1244"/>
      <c r="J43" s="1244"/>
      <c r="K43" s="1244"/>
      <c r="L43" s="1245"/>
      <c r="M43" s="1246"/>
      <c r="N43" s="1246"/>
      <c r="O43" s="1246"/>
      <c r="P43" s="278"/>
      <c r="Q43" s="276"/>
      <c r="R43" s="277"/>
      <c r="S43" s="1322" t="str">
        <f>INDEX(PT_DIFFERENTIATION_NUM_CS,MATCH(C43,PT_DIFFERENTIATION_CS_ID,0))</f>
        <v>..</v>
      </c>
      <c r="T43" s="229" t="s">
        <v>1676</v>
      </c>
      <c r="U43" s="218"/>
      <c r="V43" s="2229"/>
      <c r="W43" s="2230"/>
      <c r="X43" s="2230"/>
      <c r="Y43" s="2230"/>
      <c r="Z43" s="2230"/>
      <c r="AA43" s="2230"/>
      <c r="AB43" s="2231"/>
      <c r="AC43" s="2229" t="str">
        <f>INDEX(PT_DIFFERENTIATION_CS,MATCH(C43,PT_DIFFERENTIATION_CS_ID,0))</f>
        <v/>
      </c>
      <c r="AD43" s="2230"/>
      <c r="AE43" s="2230"/>
      <c r="AF43" s="2230"/>
      <c r="AG43" s="2230"/>
      <c r="AH43" s="2230"/>
      <c r="AI43" s="2230"/>
      <c r="AJ43" s="2231"/>
      <c r="AK43" s="1140" t="s">
        <v>1677</v>
      </c>
      <c r="AM43" s="428"/>
      <c r="AN43" s="428" t="str">
        <f t="shared" si="1"/>
        <v>Наименование централизованной системы холодного водоснабжения</v>
      </c>
      <c r="AO43" s="428"/>
      <c r="AP43" s="428"/>
    </row>
    <row r="44" spans="1:42" ht="23.25" customHeight="1">
      <c r="A44" s="1244" t="s">
        <v>233</v>
      </c>
      <c r="B44" s="1244" t="s">
        <v>234</v>
      </c>
      <c r="C44" s="1244" t="s">
        <v>235</v>
      </c>
      <c r="D44" s="1244" t="s">
        <v>1695</v>
      </c>
      <c r="E44" s="2236"/>
      <c r="F44" s="2236"/>
      <c r="G44" s="2236"/>
      <c r="H44" s="2236"/>
      <c r="I44" s="2237" t="str">
        <f>S43&amp;".1"</f>
        <v>...1</v>
      </c>
      <c r="J44" s="1244"/>
      <c r="K44" s="1244"/>
      <c r="L44" s="1245"/>
      <c r="P44" s="2157">
        <v>1</v>
      </c>
      <c r="Q44" s="1315"/>
      <c r="R44" s="280"/>
      <c r="S44" s="1322" t="str">
        <f>$I44</f>
        <v>...1</v>
      </c>
      <c r="T44" s="203" t="s">
        <v>1678</v>
      </c>
      <c r="U44" s="218"/>
      <c r="V44" s="2327"/>
      <c r="W44" s="2328"/>
      <c r="X44" s="2328"/>
      <c r="Y44" s="2328"/>
      <c r="Z44" s="2328"/>
      <c r="AA44" s="2328"/>
      <c r="AB44" s="2329"/>
      <c r="AC44" s="2330"/>
      <c r="AD44" s="2331"/>
      <c r="AE44" s="2331"/>
      <c r="AF44" s="2331"/>
      <c r="AG44" s="2331"/>
      <c r="AH44" s="2331"/>
      <c r="AI44" s="2331"/>
      <c r="AJ44" s="2332"/>
      <c r="AK44" s="1140" t="s">
        <v>1679</v>
      </c>
      <c r="AM44" s="428"/>
      <c r="AN44" s="428" t="str">
        <f t="shared" si="1"/>
        <v>Наименование признака дифференциации</v>
      </c>
      <c r="AO44" s="428"/>
      <c r="AP44" s="428"/>
    </row>
    <row r="45" spans="1:42" ht="23.25" customHeight="1">
      <c r="A45" s="1244" t="s">
        <v>233</v>
      </c>
      <c r="B45" s="1244" t="s">
        <v>234</v>
      </c>
      <c r="C45" s="1244" t="s">
        <v>235</v>
      </c>
      <c r="D45" s="1244" t="s">
        <v>1695</v>
      </c>
      <c r="E45" s="2236"/>
      <c r="F45" s="2236"/>
      <c r="G45" s="2236"/>
      <c r="H45" s="2236"/>
      <c r="I45" s="2238"/>
      <c r="J45" s="2237" t="str">
        <f>I44&amp;".1"</f>
        <v>...1.1</v>
      </c>
      <c r="K45" s="1244"/>
      <c r="L45" s="1245" t="s">
        <v>1470</v>
      </c>
      <c r="P45" s="2157"/>
      <c r="Q45" s="2157">
        <v>1</v>
      </c>
      <c r="R45" s="281"/>
      <c r="S45" s="1322" t="str">
        <f>$J45</f>
        <v>...1.1</v>
      </c>
      <c r="T45" s="204" t="s">
        <v>1471</v>
      </c>
      <c r="U45" s="218"/>
      <c r="V45" s="2224"/>
      <c r="W45" s="2225"/>
      <c r="X45" s="2225"/>
      <c r="Y45" s="2225"/>
      <c r="Z45" s="2225"/>
      <c r="AA45" s="2225"/>
      <c r="AB45" s="2226"/>
      <c r="AC45" s="2224"/>
      <c r="AD45" s="2225"/>
      <c r="AE45" s="2225"/>
      <c r="AF45" s="2225"/>
      <c r="AG45" s="2225"/>
      <c r="AH45" s="2225"/>
      <c r="AI45" s="2225"/>
      <c r="AJ45" s="2226"/>
      <c r="AK45" s="1194" t="s">
        <v>1680</v>
      </c>
      <c r="AM45" s="428"/>
      <c r="AN45" s="428" t="str">
        <f t="shared" si="1"/>
        <v>Группа потребителей</v>
      </c>
      <c r="AO45" s="428"/>
      <c r="AP45" s="428"/>
    </row>
    <row r="46" spans="1:42" ht="23.25" customHeight="1">
      <c r="A46" s="1244" t="s">
        <v>233</v>
      </c>
      <c r="B46" s="1244" t="s">
        <v>234</v>
      </c>
      <c r="C46" s="1244" t="s">
        <v>235</v>
      </c>
      <c r="D46" s="1244" t="s">
        <v>1695</v>
      </c>
      <c r="E46" s="2236"/>
      <c r="F46" s="2236"/>
      <c r="G46" s="2236"/>
      <c r="H46" s="2236"/>
      <c r="I46" s="2238"/>
      <c r="J46" s="2238"/>
      <c r="K46" s="2237" t="str">
        <f>J45&amp;".1"</f>
        <v>...1.1.1</v>
      </c>
      <c r="L46" s="1245"/>
      <c r="P46" s="2157"/>
      <c r="Q46" s="2157"/>
      <c r="R46" s="281">
        <v>1</v>
      </c>
      <c r="S46" s="1322" t="str">
        <f>$K46</f>
        <v>...1.1.1</v>
      </c>
      <c r="T46" s="1306"/>
      <c r="U46" s="218"/>
      <c r="V46" s="1667"/>
      <c r="W46" s="1667"/>
      <c r="X46" s="1669"/>
      <c r="Y46" s="2239"/>
      <c r="Z46" s="2031" t="s">
        <v>66</v>
      </c>
      <c r="AA46" s="2239"/>
      <c r="AB46" s="2031" t="s">
        <v>66</v>
      </c>
      <c r="AC46" s="1667"/>
      <c r="AD46" s="1667"/>
      <c r="AE46" s="1669"/>
      <c r="AF46" s="2239"/>
      <c r="AG46" s="2031" t="s">
        <v>66</v>
      </c>
      <c r="AH46" s="2241"/>
      <c r="AI46" s="2031" t="s">
        <v>66</v>
      </c>
      <c r="AJ46" s="1706"/>
      <c r="AK46" s="233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9" t="e">
        <f ca="1">STRCHECKDATE(V47:AJ47)</f>
        <v>#NAME?</v>
      </c>
      <c r="AM46" s="428"/>
      <c r="AN46" s="428" t="str">
        <f t="shared" si="1"/>
        <v/>
      </c>
      <c r="AO46" s="428"/>
      <c r="AP46" s="428"/>
    </row>
    <row r="47" spans="1:42" ht="0" hidden="1" customHeight="1">
      <c r="A47" s="1244" t="s">
        <v>233</v>
      </c>
      <c r="B47" s="1244" t="s">
        <v>234</v>
      </c>
      <c r="C47" s="1244" t="s">
        <v>235</v>
      </c>
      <c r="D47" s="1244" t="s">
        <v>1695</v>
      </c>
      <c r="E47" s="2236"/>
      <c r="F47" s="2236"/>
      <c r="G47" s="2236"/>
      <c r="H47" s="2236"/>
      <c r="I47" s="2238"/>
      <c r="J47" s="2238"/>
      <c r="K47" s="2237"/>
      <c r="L47" s="1245"/>
      <c r="P47" s="2157"/>
      <c r="Q47" s="2157"/>
      <c r="R47" s="281"/>
      <c r="S47" s="1321"/>
      <c r="T47" s="218"/>
      <c r="U47" s="218"/>
      <c r="V47" s="1668"/>
      <c r="W47" s="1668"/>
      <c r="X47" s="1670" t="str">
        <f>Y46&amp;"-"&amp;AA46</f>
        <v>-</v>
      </c>
      <c r="Y47" s="2240"/>
      <c r="Z47" s="2031"/>
      <c r="AA47" s="2240"/>
      <c r="AB47" s="2031"/>
      <c r="AC47" s="1668"/>
      <c r="AD47" s="1668"/>
      <c r="AE47" s="1670" t="str">
        <f>AF46&amp;"-"&amp;AH46</f>
        <v>-</v>
      </c>
      <c r="AF47" s="2240"/>
      <c r="AG47" s="2031"/>
      <c r="AH47" s="2242"/>
      <c r="AI47" s="2031"/>
      <c r="AJ47" s="1707"/>
      <c r="AK47" s="2333"/>
      <c r="AM47" s="428"/>
      <c r="AN47" s="428" t="str">
        <f t="shared" si="1"/>
        <v/>
      </c>
      <c r="AO47" s="428"/>
      <c r="AP47" s="428"/>
    </row>
    <row r="48" spans="1:42" ht="21" customHeight="1">
      <c r="A48" s="1244" t="s">
        <v>233</v>
      </c>
      <c r="B48" s="1244" t="s">
        <v>234</v>
      </c>
      <c r="C48" s="1244" t="s">
        <v>235</v>
      </c>
      <c r="D48" s="1244" t="s">
        <v>1695</v>
      </c>
      <c r="E48" s="2236"/>
      <c r="F48" s="2236"/>
      <c r="G48" s="2236"/>
      <c r="H48" s="2236"/>
      <c r="I48" s="2238"/>
      <c r="J48" s="2237"/>
      <c r="K48" s="1244"/>
      <c r="L48" s="1245"/>
      <c r="P48" s="2157"/>
      <c r="Q48" s="2157"/>
      <c r="R48" s="280"/>
      <c r="S48" s="1161"/>
      <c r="T48" s="205" t="s">
        <v>1681</v>
      </c>
      <c r="U48" s="294"/>
      <c r="V48" s="294"/>
      <c r="W48" s="294"/>
      <c r="X48" s="294"/>
      <c r="Y48" s="294"/>
      <c r="Z48" s="294"/>
      <c r="AA48" s="294"/>
      <c r="AB48" s="294"/>
      <c r="AC48" s="294"/>
      <c r="AD48" s="294"/>
      <c r="AE48" s="294"/>
      <c r="AF48" s="294"/>
      <c r="AG48" s="294"/>
      <c r="AH48" s="294"/>
      <c r="AI48" s="294"/>
      <c r="AJ48" s="294"/>
      <c r="AK48" s="1140" t="s">
        <v>1682</v>
      </c>
      <c r="AM48" s="428"/>
      <c r="AN48" s="428" t="str">
        <f t="shared" si="1"/>
        <v>Добавить значение признака дифференциации</v>
      </c>
      <c r="AO48" s="428"/>
      <c r="AP48" s="428"/>
    </row>
    <row r="49" spans="1:42" ht="21" customHeight="1">
      <c r="A49" s="1244" t="s">
        <v>233</v>
      </c>
      <c r="B49" s="1244" t="s">
        <v>234</v>
      </c>
      <c r="C49" s="1244" t="s">
        <v>235</v>
      </c>
      <c r="D49" s="1244" t="s">
        <v>1695</v>
      </c>
      <c r="E49" s="2236"/>
      <c r="F49" s="2236"/>
      <c r="G49" s="2236"/>
      <c r="H49" s="2236"/>
      <c r="I49" s="2237"/>
      <c r="J49" s="1244"/>
      <c r="K49" s="1244"/>
      <c r="L49" s="1245"/>
      <c r="P49" s="2157"/>
      <c r="Q49" s="1315"/>
      <c r="R49" s="280"/>
      <c r="S49" s="1161"/>
      <c r="T49" s="291" t="s">
        <v>1476</v>
      </c>
      <c r="U49" s="294"/>
      <c r="V49" s="294"/>
      <c r="W49" s="294"/>
      <c r="X49" s="294"/>
      <c r="Y49" s="294"/>
      <c r="Z49" s="294"/>
      <c r="AA49" s="294"/>
      <c r="AB49" s="293"/>
      <c r="AC49" s="294"/>
      <c r="AD49" s="294"/>
      <c r="AE49" s="294"/>
      <c r="AF49" s="294"/>
      <c r="AG49" s="294"/>
      <c r="AH49" s="294"/>
      <c r="AI49" s="293"/>
      <c r="AJ49" s="294"/>
      <c r="AK49" s="1307"/>
      <c r="AM49" s="428"/>
      <c r="AN49" s="428" t="str">
        <f t="shared" si="1"/>
        <v>Добавить группу потребителей</v>
      </c>
      <c r="AO49" s="428"/>
      <c r="AP49" s="428"/>
    </row>
    <row r="50" spans="1:42" ht="21" customHeight="1">
      <c r="A50" s="1244" t="s">
        <v>233</v>
      </c>
      <c r="B50" s="1244" t="s">
        <v>234</v>
      </c>
      <c r="C50" s="1244" t="s">
        <v>235</v>
      </c>
      <c r="D50" s="1244" t="s">
        <v>1695</v>
      </c>
      <c r="E50" s="2236"/>
      <c r="F50" s="2236"/>
      <c r="G50" s="2236"/>
      <c r="H50" s="2235"/>
      <c r="I50" s="1244"/>
      <c r="J50" s="1244"/>
      <c r="K50" s="1244"/>
      <c r="L50" s="1245"/>
      <c r="M50" s="1246"/>
      <c r="N50" s="1246"/>
      <c r="O50" s="464"/>
      <c r="P50" s="284"/>
      <c r="Q50" s="303"/>
      <c r="R50" s="279"/>
      <c r="S50" s="1161"/>
      <c r="T50" s="299" t="s">
        <v>1683</v>
      </c>
      <c r="U50" s="294"/>
      <c r="V50" s="294"/>
      <c r="W50" s="294"/>
      <c r="X50" s="294"/>
      <c r="Y50" s="294"/>
      <c r="Z50" s="294"/>
      <c r="AA50" s="294"/>
      <c r="AB50" s="293"/>
      <c r="AC50" s="294"/>
      <c r="AD50" s="294"/>
      <c r="AE50" s="294"/>
      <c r="AF50" s="294"/>
      <c r="AG50" s="294"/>
      <c r="AH50" s="294"/>
      <c r="AI50" s="293"/>
      <c r="AJ50" s="294"/>
      <c r="AK50" s="221"/>
      <c r="AM50" s="428"/>
      <c r="AN50" s="428" t="str">
        <f t="shared" si="1"/>
        <v>Добавить наименование признака дифференциации</v>
      </c>
      <c r="AO50" s="428"/>
      <c r="AP50" s="428"/>
    </row>
    <row r="51" spans="1:42" s="1772" customFormat="1" ht="0.75" customHeight="1">
      <c r="A51" s="1228" t="s">
        <v>233</v>
      </c>
      <c r="B51" s="1228" t="s">
        <v>234</v>
      </c>
      <c r="C51" s="1200"/>
      <c r="D51" s="1200"/>
      <c r="E51" s="2236"/>
      <c r="F51" s="2235"/>
      <c r="G51" s="1200"/>
      <c r="H51" s="1200"/>
      <c r="I51" s="1200"/>
      <c r="J51" s="1200"/>
      <c r="K51" s="1200"/>
      <c r="L51" s="1323"/>
      <c r="M51" s="1207"/>
      <c r="N51" s="1207"/>
      <c r="P51" s="1202"/>
      <c r="Q51" s="1203"/>
      <c r="R51" s="1202"/>
      <c r="S51" s="1208"/>
      <c r="T51" s="1211" t="s">
        <v>1437</v>
      </c>
      <c r="U51" s="1210"/>
      <c r="V51" s="1210"/>
      <c r="W51" s="1210"/>
      <c r="X51" s="1210"/>
      <c r="Y51" s="1210"/>
      <c r="Z51" s="1210"/>
      <c r="AA51" s="1210"/>
      <c r="AB51" s="1210"/>
      <c r="AC51" s="1210"/>
      <c r="AD51" s="1210"/>
      <c r="AE51" s="1210"/>
      <c r="AF51" s="1210"/>
      <c r="AG51" s="1210"/>
      <c r="AH51" s="1210"/>
      <c r="AI51" s="1210"/>
      <c r="AJ51" s="1210"/>
      <c r="AK51" s="1210"/>
      <c r="AM51" s="696"/>
      <c r="AN51" s="696" t="str">
        <f t="shared" si="1"/>
        <v>Добавить централизованную систему для дифференциации</v>
      </c>
      <c r="AO51" s="696"/>
      <c r="AP51" s="696"/>
    </row>
    <row r="52" spans="1:42" s="1772" customFormat="1" ht="0.75" customHeight="1">
      <c r="A52" s="1228" t="s">
        <v>233</v>
      </c>
      <c r="B52" s="1228"/>
      <c r="C52" s="1228"/>
      <c r="D52" s="1228"/>
      <c r="E52" s="2235"/>
      <c r="F52" s="1228"/>
      <c r="G52" s="1228"/>
      <c r="H52" s="1228"/>
      <c r="I52" s="1228"/>
      <c r="J52" s="1228"/>
      <c r="K52" s="1228"/>
      <c r="L52" s="1231"/>
      <c r="M52" s="1207"/>
      <c r="N52" s="1207"/>
      <c r="O52" s="446"/>
      <c r="P52" s="311"/>
      <c r="Q52" s="1229"/>
      <c r="R52" s="311"/>
      <c r="S52" s="1208"/>
      <c r="T52" s="1211" t="s">
        <v>1438</v>
      </c>
      <c r="U52" s="1210"/>
      <c r="V52" s="1210"/>
      <c r="W52" s="1210"/>
      <c r="X52" s="1210"/>
      <c r="Y52" s="1210"/>
      <c r="Z52" s="1210"/>
      <c r="AA52" s="1210"/>
      <c r="AB52" s="1210"/>
      <c r="AC52" s="1210"/>
      <c r="AD52" s="1210"/>
      <c r="AE52" s="1210"/>
      <c r="AF52" s="1210"/>
      <c r="AG52" s="1210"/>
      <c r="AH52" s="1210"/>
      <c r="AI52" s="1210"/>
      <c r="AJ52" s="1210"/>
      <c r="AK52" s="1210"/>
      <c r="AM52" s="428"/>
      <c r="AN52" s="428" t="str">
        <f t="shared" si="1"/>
        <v>Добавить территорию для дифференциации</v>
      </c>
      <c r="AO52" s="428"/>
      <c r="AP52" s="428"/>
    </row>
    <row r="53" spans="1:42" s="1772" customFormat="1" ht="0.75" customHeight="1">
      <c r="A53" s="1200"/>
      <c r="B53" s="1200"/>
      <c r="C53" s="1200"/>
      <c r="D53" s="1200"/>
      <c r="E53" s="1228"/>
      <c r="F53" s="1200"/>
      <c r="G53" s="1200"/>
      <c r="H53" s="1200"/>
      <c r="I53" s="1200"/>
      <c r="J53" s="1200"/>
      <c r="K53" s="1200"/>
      <c r="L53" s="1323"/>
      <c r="M53" s="1207"/>
      <c r="N53" s="1207"/>
      <c r="P53" s="1202"/>
      <c r="Q53" s="1203"/>
      <c r="R53" s="1202"/>
      <c r="S53" s="1208"/>
      <c r="T53" s="1211" t="s">
        <v>1439</v>
      </c>
      <c r="U53" s="1210"/>
      <c r="V53" s="1210"/>
      <c r="W53" s="1210"/>
      <c r="X53" s="1210"/>
      <c r="Y53" s="1210"/>
      <c r="Z53" s="1210"/>
      <c r="AA53" s="1210"/>
      <c r="AB53" s="1210"/>
      <c r="AC53" s="1210"/>
      <c r="AD53" s="1210"/>
      <c r="AE53" s="1210"/>
      <c r="AF53" s="1210"/>
      <c r="AG53" s="1210"/>
      <c r="AH53" s="1210"/>
      <c r="AI53" s="1210"/>
      <c r="AJ53" s="1210"/>
      <c r="AK53" s="1210"/>
      <c r="AM53" s="696"/>
      <c r="AN53" s="696" t="str">
        <f t="shared" si="1"/>
        <v>Добавить наименование тарифа</v>
      </c>
      <c r="AO53" s="696"/>
      <c r="AP53" s="696"/>
    </row>
    <row r="54" spans="1:42" ht="11.25" hidden="1" customHeight="1">
      <c r="M54" s="1036"/>
      <c r="N54" s="1036"/>
      <c r="O54" s="464"/>
      <c r="P54" s="1031"/>
      <c r="Q54" s="1031"/>
      <c r="R54" s="1031"/>
      <c r="S54" s="1031"/>
      <c r="AL54" s="1031"/>
      <c r="AM54" s="1031"/>
      <c r="AN54" s="1031"/>
      <c r="AO54" s="1031"/>
      <c r="AP54" s="1031"/>
    </row>
    <row r="55" spans="1:42" ht="14.25" hidden="1" customHeight="1">
      <c r="O55" s="464"/>
      <c r="S55" s="1128" t="s">
        <v>1509</v>
      </c>
      <c r="T55" s="2234" t="s">
        <v>1691</v>
      </c>
      <c r="U55" s="2234"/>
      <c r="V55" s="2234"/>
      <c r="W55" s="2234"/>
      <c r="X55" s="2234"/>
      <c r="Y55" s="2234"/>
      <c r="Z55" s="2234"/>
      <c r="AA55" s="2234"/>
      <c r="AB55" s="2234"/>
      <c r="AC55" s="2234"/>
      <c r="AD55" s="2234"/>
      <c r="AE55" s="2234"/>
      <c r="AF55" s="2234"/>
      <c r="AG55" s="2234"/>
      <c r="AH55" s="2234"/>
      <c r="AI55" s="2234"/>
      <c r="AJ55" s="2234"/>
      <c r="AK55" s="2234"/>
    </row>
    <row r="56" spans="1:42" ht="14.25" hidden="1" customHeight="1">
      <c r="O56" s="464"/>
    </row>
    <row r="57" spans="1:42" ht="14.25" hidden="1" customHeight="1">
      <c r="O57" s="464"/>
      <c r="S57" s="1128" t="s">
        <v>1509</v>
      </c>
      <c r="T57" s="2234" t="s">
        <v>1692</v>
      </c>
      <c r="U57" s="2234"/>
      <c r="V57" s="2234"/>
      <c r="W57" s="2234"/>
      <c r="X57" s="2234"/>
      <c r="Y57" s="2234"/>
      <c r="Z57" s="2234"/>
      <c r="AA57" s="2234"/>
      <c r="AB57" s="2234"/>
      <c r="AC57" s="2234"/>
      <c r="AD57" s="2234"/>
      <c r="AE57" s="2234"/>
      <c r="AF57" s="2234"/>
      <c r="AG57" s="2234"/>
      <c r="AH57" s="2234"/>
      <c r="AI57" s="2234"/>
      <c r="AJ57" s="2234"/>
      <c r="AK57" s="2234"/>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759" hidden="1" customWidth="1"/>
    <col min="2" max="2" width="11" style="1759" hidden="1" customWidth="1"/>
    <col min="3" max="3" width="10.5703125" style="1759" hidden="1"/>
    <col min="4" max="4" width="12.85546875" style="1759" hidden="1" customWidth="1"/>
    <col min="5" max="5" width="10" style="1759" hidden="1" customWidth="1"/>
    <col min="6" max="6" width="8.7109375" style="1759" hidden="1" customWidth="1"/>
    <col min="7" max="7" width="7.5703125" style="1759" hidden="1" customWidth="1"/>
    <col min="8" max="8" width="11.42578125" style="1759" hidden="1" customWidth="1"/>
    <col min="9" max="9" width="12" style="1759" hidden="1" customWidth="1"/>
    <col min="10" max="10" width="9.85546875" style="1759" hidden="1" customWidth="1"/>
    <col min="11" max="11" width="11.42578125" style="1759" hidden="1" customWidth="1"/>
    <col min="12" max="12" width="19.140625" style="1758" hidden="1" customWidth="1"/>
    <col min="13" max="14" width="12.28515625" style="1686" hidden="1" customWidth="1"/>
    <col min="15" max="15" width="23.42578125" style="1686" hidden="1" customWidth="1"/>
    <col min="16" max="16" width="3.7109375" style="1686" hidden="1" customWidth="1"/>
    <col min="17" max="17" width="3.7109375" style="1673" hidden="1" customWidth="1"/>
    <col min="18" max="18" width="3.7109375" style="1677" customWidth="1"/>
    <col min="19" max="19" width="12.7109375" style="1727" customWidth="1"/>
    <col min="20" max="20" width="32" style="1846" customWidth="1"/>
    <col min="21" max="21" width="0.140625" style="1846" customWidth="1"/>
    <col min="22" max="25" width="21.7109375" style="1846" hidden="1" customWidth="1"/>
    <col min="26" max="26" width="11.7109375" style="1846" hidden="1" customWidth="1"/>
    <col min="27" max="27" width="3.7109375" style="1846" hidden="1" customWidth="1"/>
    <col min="28" max="28" width="11.7109375" style="1846" hidden="1" customWidth="1"/>
    <col min="29" max="29" width="8.5703125" style="1846" hidden="1" customWidth="1"/>
    <col min="30" max="32" width="3.7109375" style="1846" customWidth="1"/>
    <col min="33" max="33" width="24.7109375" style="1846" customWidth="1"/>
    <col min="34" max="36" width="3.7109375" style="1846" customWidth="1"/>
    <col min="37" max="37" width="24.7109375" style="1846" customWidth="1"/>
    <col min="38" max="40" width="3.7109375" style="1846" customWidth="1"/>
    <col min="41" max="41" width="18.85546875" style="1846" customWidth="1"/>
    <col min="42" max="44" width="3.7109375" style="1846" customWidth="1"/>
    <col min="45" max="45" width="18.85546875" style="1846" customWidth="1"/>
    <col min="46" max="49" width="21.7109375" style="1846" customWidth="1"/>
    <col min="50" max="50" width="11.7109375" style="1846" customWidth="1"/>
    <col min="51" max="51" width="3.7109375" style="1846" customWidth="1"/>
    <col min="52" max="52" width="11.7109375" style="1846" customWidth="1"/>
    <col min="53" max="53" width="8.5703125" style="1846" hidden="1" customWidth="1"/>
    <col min="54" max="54" width="4.7109375" style="1846" customWidth="1"/>
    <col min="55" max="55" width="115.7109375" style="1846" customWidth="1"/>
    <col min="56" max="57" width="10.5703125" style="1772"/>
    <col min="58" max="58" width="11.140625" style="1772" customWidth="1"/>
    <col min="59" max="60" width="10.5703125" style="1772"/>
  </cols>
  <sheetData>
    <row r="1" spans="1:60" ht="14.25" hidden="1" customHeight="1">
      <c r="W1" s="254"/>
      <c r="Y1" s="254"/>
      <c r="Z1" s="254"/>
      <c r="AW1" s="254"/>
      <c r="AX1" s="254"/>
    </row>
    <row r="2" spans="1:60" ht="21" hidden="1" customHeight="1">
      <c r="A2" s="1244"/>
      <c r="B2" s="1244"/>
      <c r="C2" s="1244"/>
      <c r="D2" s="1244"/>
      <c r="E2" s="2235">
        <v>1</v>
      </c>
      <c r="F2" s="1244"/>
      <c r="G2" s="1244"/>
      <c r="H2" s="1244"/>
      <c r="I2" s="1244"/>
      <c r="J2" s="1244"/>
      <c r="K2" s="1244"/>
      <c r="L2" s="1245"/>
      <c r="M2" s="1246"/>
      <c r="N2" s="1246"/>
      <c r="O2" s="1246"/>
      <c r="P2" s="1279"/>
      <c r="Q2" s="771"/>
      <c r="R2" s="279"/>
      <c r="S2" s="1329" t="e">
        <f>INDEX(PT_DIFFERENTIATION_NUM_NTAR,MATCH(A2,PT_DIFFERENTIATION_NTAR_ID,0))</f>
        <v>#N/A</v>
      </c>
      <c r="T2" s="216" t="s">
        <v>124</v>
      </c>
      <c r="U2" s="218"/>
      <c r="V2" s="2230"/>
      <c r="W2" s="2230"/>
      <c r="X2" s="2230"/>
      <c r="Y2" s="2230"/>
      <c r="Z2" s="2230"/>
      <c r="AA2" s="2230"/>
      <c r="AB2" s="2230"/>
      <c r="AC2" s="2231"/>
      <c r="AD2" s="2229" t="e">
        <f>INDEX(PT_DIFFERENTIATION_NTAR,MATCH(A2,PT_DIFFERENTIATION_NTAR_ID,0))</f>
        <v>#N/A</v>
      </c>
      <c r="AE2" s="2230"/>
      <c r="AF2" s="2230"/>
      <c r="AG2" s="2230"/>
      <c r="AH2" s="2230"/>
      <c r="AI2" s="2230"/>
      <c r="AJ2" s="2230"/>
      <c r="AK2" s="2230"/>
      <c r="AL2" s="2230"/>
      <c r="AM2" s="2230"/>
      <c r="AN2" s="2230"/>
      <c r="AO2" s="2230"/>
      <c r="AP2" s="2230"/>
      <c r="AQ2" s="2230"/>
      <c r="AR2" s="2230"/>
      <c r="AS2" s="2230"/>
      <c r="AT2" s="2230"/>
      <c r="AU2" s="2230"/>
      <c r="AV2" s="2230"/>
      <c r="AW2" s="2230"/>
      <c r="AX2" s="2230"/>
      <c r="AY2" s="2230"/>
      <c r="AZ2" s="2230"/>
      <c r="BA2" s="2230"/>
      <c r="BB2" s="2231"/>
      <c r="BC2" s="114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28"/>
      <c r="BF2" s="428" t="str">
        <f t="shared" ref="BF2:BF8" si="0">IF(T2="","",T2)</f>
        <v>Наименование тарифа</v>
      </c>
      <c r="BG2" s="428"/>
      <c r="BH2" s="428"/>
    </row>
    <row r="3" spans="1:60" ht="21" hidden="1" customHeight="1">
      <c r="A3" s="1244"/>
      <c r="B3" s="1244"/>
      <c r="C3" s="1244"/>
      <c r="D3" s="1244"/>
      <c r="E3" s="2236"/>
      <c r="F3" s="2235">
        <v>1</v>
      </c>
      <c r="G3" s="1244"/>
      <c r="H3" s="1244"/>
      <c r="I3" s="1244"/>
      <c r="J3" s="1244"/>
      <c r="K3" s="1244"/>
      <c r="L3" s="1245"/>
      <c r="M3" s="1246"/>
      <c r="N3" s="1246"/>
      <c r="O3" s="1246"/>
      <c r="P3" s="1280"/>
      <c r="Q3" s="1281"/>
      <c r="R3" s="277"/>
      <c r="S3" s="1329" t="e">
        <f>INDEX(PT_DIFFERENTIATION_NUM_TER,MATCH(B3,PT_DIFFERENTIATION_TER_ID,0))</f>
        <v>#N/A</v>
      </c>
      <c r="T3" s="228" t="s">
        <v>1461</v>
      </c>
      <c r="U3" s="218"/>
      <c r="V3" s="2230"/>
      <c r="W3" s="2230"/>
      <c r="X3" s="2230"/>
      <c r="Y3" s="2230"/>
      <c r="Z3" s="2230"/>
      <c r="AA3" s="2230"/>
      <c r="AB3" s="2230"/>
      <c r="AC3" s="2231"/>
      <c r="AD3" s="2229" t="e">
        <f>INDEX(PT_DIFFERENTIATION_TER,MATCH(B3,PT_DIFFERENTIATION_TER_ID,0))</f>
        <v>#N/A</v>
      </c>
      <c r="AE3" s="2230"/>
      <c r="AF3" s="2230"/>
      <c r="AG3" s="2230"/>
      <c r="AH3" s="2230"/>
      <c r="AI3" s="2230"/>
      <c r="AJ3" s="2230"/>
      <c r="AK3" s="2230"/>
      <c r="AL3" s="2230"/>
      <c r="AM3" s="2230"/>
      <c r="AN3" s="2230"/>
      <c r="AO3" s="2230"/>
      <c r="AP3" s="2230"/>
      <c r="AQ3" s="2230"/>
      <c r="AR3" s="2230"/>
      <c r="AS3" s="2230"/>
      <c r="AT3" s="2230"/>
      <c r="AU3" s="2230"/>
      <c r="AV3" s="2230"/>
      <c r="AW3" s="2230"/>
      <c r="AX3" s="2230"/>
      <c r="AY3" s="2230"/>
      <c r="AZ3" s="2230"/>
      <c r="BA3" s="2230"/>
      <c r="BB3" s="2231"/>
      <c r="BC3" s="1140" t="s">
        <v>1462</v>
      </c>
      <c r="BE3" s="428"/>
      <c r="BF3" s="428" t="str">
        <f t="shared" si="0"/>
        <v>Территория действия тарифа</v>
      </c>
      <c r="BG3" s="428"/>
      <c r="BH3" s="428"/>
    </row>
    <row r="4" spans="1:60" ht="42" hidden="1" customHeight="1">
      <c r="A4" s="1244"/>
      <c r="B4" s="1244"/>
      <c r="C4" s="1244"/>
      <c r="D4" s="1244"/>
      <c r="E4" s="2236"/>
      <c r="F4" s="2236"/>
      <c r="G4" s="2235">
        <v>1</v>
      </c>
      <c r="H4" s="1244"/>
      <c r="I4" s="1244"/>
      <c r="J4" s="1244"/>
      <c r="K4" s="1244"/>
      <c r="L4" s="1245"/>
      <c r="M4" s="1246"/>
      <c r="N4" s="1246"/>
      <c r="O4" s="1246"/>
      <c r="P4" s="1282"/>
      <c r="Q4" s="1281"/>
      <c r="R4" s="277"/>
      <c r="S4" s="1329" t="e">
        <f>INDEX(PT_DIFFERENTIATION_NUM_CS,MATCH(C4,PT_DIFFERENTIATION_CS_ID,0))</f>
        <v>#N/A</v>
      </c>
      <c r="T4" s="229" t="s">
        <v>1676</v>
      </c>
      <c r="U4" s="218"/>
      <c r="V4" s="2230"/>
      <c r="W4" s="2230"/>
      <c r="X4" s="2230"/>
      <c r="Y4" s="2230"/>
      <c r="Z4" s="2230"/>
      <c r="AA4" s="2230"/>
      <c r="AB4" s="2230"/>
      <c r="AC4" s="2231"/>
      <c r="AD4" s="2229" t="e">
        <f>INDEX(PT_DIFFERENTIATION_CS,MATCH(C4,PT_DIFFERENTIATION_CS_ID,0))</f>
        <v>#N/A</v>
      </c>
      <c r="AE4" s="2230"/>
      <c r="AF4" s="2230"/>
      <c r="AG4" s="2230"/>
      <c r="AH4" s="2230"/>
      <c r="AI4" s="2230"/>
      <c r="AJ4" s="2230"/>
      <c r="AK4" s="2230"/>
      <c r="AL4" s="2230"/>
      <c r="AM4" s="2230"/>
      <c r="AN4" s="2230"/>
      <c r="AO4" s="2230"/>
      <c r="AP4" s="2230"/>
      <c r="AQ4" s="2230"/>
      <c r="AR4" s="2230"/>
      <c r="AS4" s="2230"/>
      <c r="AT4" s="2230"/>
      <c r="AU4" s="2230"/>
      <c r="AV4" s="2230"/>
      <c r="AW4" s="2230"/>
      <c r="AX4" s="2230"/>
      <c r="AY4" s="2230"/>
      <c r="AZ4" s="2230"/>
      <c r="BA4" s="2230"/>
      <c r="BB4" s="2231"/>
      <c r="BC4" s="1140" t="s">
        <v>1677</v>
      </c>
      <c r="BE4" s="428"/>
      <c r="BF4" s="428" t="str">
        <f t="shared" si="0"/>
        <v>Наименование централизованной системы холодного водоснабжения</v>
      </c>
      <c r="BG4" s="428"/>
      <c r="BH4" s="428"/>
    </row>
    <row r="5" spans="1:60" s="1772" customFormat="1" ht="14.25" hidden="1" customHeight="1">
      <c r="A5" s="1228"/>
      <c r="B5" s="1228"/>
      <c r="C5" s="1228"/>
      <c r="D5" s="1228"/>
      <c r="E5" s="2236"/>
      <c r="F5" s="2236"/>
      <c r="G5" s="2236"/>
      <c r="H5" s="2235">
        <v>1</v>
      </c>
      <c r="I5" s="1228"/>
      <c r="J5" s="1228"/>
      <c r="K5" s="1228"/>
      <c r="L5" s="1231"/>
      <c r="M5" s="1201"/>
      <c r="N5" s="1201"/>
      <c r="O5" s="1201"/>
      <c r="P5" s="1358"/>
      <c r="Q5" s="1359"/>
      <c r="R5" s="281"/>
      <c r="S5" s="932"/>
      <c r="T5" s="1360"/>
      <c r="U5" s="1264"/>
      <c r="V5" s="2264"/>
      <c r="W5" s="2264"/>
      <c r="X5" s="2264"/>
      <c r="Y5" s="2264"/>
      <c r="Z5" s="2264"/>
      <c r="AA5" s="2264"/>
      <c r="AB5" s="2264"/>
      <c r="AC5" s="2265"/>
      <c r="AD5" s="2263"/>
      <c r="AE5" s="2264"/>
      <c r="AF5" s="2264"/>
      <c r="AG5" s="2264"/>
      <c r="AH5" s="2264"/>
      <c r="AI5" s="2264"/>
      <c r="AJ5" s="2264"/>
      <c r="AK5" s="2264"/>
      <c r="AL5" s="2264"/>
      <c r="AM5" s="2264"/>
      <c r="AN5" s="2264"/>
      <c r="AO5" s="2264"/>
      <c r="AP5" s="2264"/>
      <c r="AQ5" s="2264"/>
      <c r="AR5" s="2264"/>
      <c r="AS5" s="2264"/>
      <c r="AT5" s="2264"/>
      <c r="AU5" s="2264"/>
      <c r="AV5" s="2264"/>
      <c r="AW5" s="2264"/>
      <c r="AX5" s="2264"/>
      <c r="AY5" s="2264"/>
      <c r="AZ5" s="2264"/>
      <c r="BA5" s="2264"/>
      <c r="BB5" s="2265"/>
      <c r="BC5" s="1265" t="s">
        <v>1466</v>
      </c>
      <c r="BE5" s="428"/>
      <c r="BF5" s="428" t="str">
        <f t="shared" si="0"/>
        <v/>
      </c>
      <c r="BG5" s="428"/>
      <c r="BH5" s="428"/>
    </row>
    <row r="6" spans="1:60" s="1772" customFormat="1" ht="14.25" hidden="1" customHeight="1">
      <c r="A6" s="1228"/>
      <c r="B6" s="1228"/>
      <c r="C6" s="1228"/>
      <c r="D6" s="1228"/>
      <c r="E6" s="2236"/>
      <c r="F6" s="2236"/>
      <c r="G6" s="2236"/>
      <c r="H6" s="2236"/>
      <c r="I6" s="2237" t="str">
        <f>S5&amp;".1"</f>
        <v>.1</v>
      </c>
      <c r="J6" s="1228"/>
      <c r="K6" s="1228"/>
      <c r="L6" s="1231" t="s">
        <v>1467</v>
      </c>
      <c r="M6" s="438"/>
      <c r="N6" s="438"/>
      <c r="O6" s="438"/>
      <c r="P6" s="2157">
        <v>1</v>
      </c>
      <c r="Q6" s="1326"/>
      <c r="R6" s="280"/>
      <c r="S6" s="932"/>
      <c r="T6" s="1263"/>
      <c r="U6" s="1264"/>
      <c r="V6" s="2264"/>
      <c r="W6" s="2264"/>
      <c r="X6" s="2264"/>
      <c r="Y6" s="2264"/>
      <c r="Z6" s="2264"/>
      <c r="AA6" s="2264"/>
      <c r="AB6" s="2264"/>
      <c r="AC6" s="2265"/>
      <c r="AD6" s="2263"/>
      <c r="AE6" s="2264"/>
      <c r="AF6" s="2264"/>
      <c r="AG6" s="2264"/>
      <c r="AH6" s="2264"/>
      <c r="AI6" s="2264"/>
      <c r="AJ6" s="2264"/>
      <c r="AK6" s="2264"/>
      <c r="AL6" s="2264"/>
      <c r="AM6" s="2264"/>
      <c r="AN6" s="2264"/>
      <c r="AO6" s="2264"/>
      <c r="AP6" s="2264"/>
      <c r="AQ6" s="2264"/>
      <c r="AR6" s="2264"/>
      <c r="AS6" s="2264"/>
      <c r="AT6" s="2264"/>
      <c r="AU6" s="2264"/>
      <c r="AV6" s="2264"/>
      <c r="AW6" s="2264"/>
      <c r="AX6" s="2264"/>
      <c r="AY6" s="2264"/>
      <c r="AZ6" s="2264"/>
      <c r="BA6" s="2264"/>
      <c r="BB6" s="2265"/>
      <c r="BC6" s="1265"/>
      <c r="BE6" s="428"/>
      <c r="BF6" s="428" t="str">
        <f t="shared" si="0"/>
        <v/>
      </c>
      <c r="BG6" s="428"/>
      <c r="BH6" s="428"/>
    </row>
    <row r="7" spans="1:60" s="1772" customFormat="1" ht="14.25" hidden="1" customHeight="1">
      <c r="A7" s="1228"/>
      <c r="B7" s="1228"/>
      <c r="C7" s="1228"/>
      <c r="D7" s="1228"/>
      <c r="E7" s="2236"/>
      <c r="F7" s="2236"/>
      <c r="G7" s="2236"/>
      <c r="H7" s="2236"/>
      <c r="I7" s="2238"/>
      <c r="J7" s="2237" t="str">
        <f>S5&amp;".1"</f>
        <v>.1</v>
      </c>
      <c r="K7" s="1228"/>
      <c r="L7" s="1231"/>
      <c r="M7" s="438"/>
      <c r="N7" s="438"/>
      <c r="O7" s="438"/>
      <c r="P7" s="2157"/>
      <c r="Q7" s="2157">
        <v>1</v>
      </c>
      <c r="R7" s="281"/>
      <c r="S7" s="932"/>
      <c r="T7" s="1273"/>
      <c r="U7" s="1264"/>
      <c r="V7" s="2264"/>
      <c r="W7" s="2264"/>
      <c r="X7" s="2264"/>
      <c r="Y7" s="2264"/>
      <c r="Z7" s="2264"/>
      <c r="AA7" s="2264"/>
      <c r="AB7" s="2264"/>
      <c r="AC7" s="2265"/>
      <c r="AD7" s="2263"/>
      <c r="AE7" s="2264"/>
      <c r="AF7" s="2264"/>
      <c r="AG7" s="2264"/>
      <c r="AH7" s="2264"/>
      <c r="AI7" s="2264"/>
      <c r="AJ7" s="2264"/>
      <c r="AK7" s="2264"/>
      <c r="AL7" s="2264"/>
      <c r="AM7" s="2264"/>
      <c r="AN7" s="2264"/>
      <c r="AO7" s="2264"/>
      <c r="AP7" s="2264"/>
      <c r="AQ7" s="2264"/>
      <c r="AR7" s="2264"/>
      <c r="AS7" s="2264"/>
      <c r="AT7" s="2264"/>
      <c r="AU7" s="2264"/>
      <c r="AV7" s="2264"/>
      <c r="AW7" s="2264"/>
      <c r="AX7" s="2264"/>
      <c r="AY7" s="2264"/>
      <c r="AZ7" s="2264"/>
      <c r="BA7" s="2264"/>
      <c r="BB7" s="2265"/>
      <c r="BC7" s="1265"/>
      <c r="BE7" s="428"/>
      <c r="BF7" s="428" t="str">
        <f t="shared" si="0"/>
        <v/>
      </c>
      <c r="BG7" s="428"/>
      <c r="BH7" s="428"/>
    </row>
    <row r="8" spans="1:60" ht="11.25" hidden="1" customHeight="1">
      <c r="A8" s="1244"/>
      <c r="B8" s="1244"/>
      <c r="C8" s="1244"/>
      <c r="D8" s="1244"/>
      <c r="E8" s="2236"/>
      <c r="F8" s="2236"/>
      <c r="G8" s="2236"/>
      <c r="H8" s="2236"/>
      <c r="I8" s="2238"/>
      <c r="J8" s="2238"/>
      <c r="K8" s="2237" t="e">
        <f>S4&amp;".1"</f>
        <v>#N/A</v>
      </c>
      <c r="L8" s="1245"/>
      <c r="P8" s="2157"/>
      <c r="Q8" s="2157"/>
      <c r="R8" s="2289">
        <v>1</v>
      </c>
      <c r="S8" s="2286" t="e">
        <f>$K8</f>
        <v>#N/A</v>
      </c>
      <c r="T8" s="2336"/>
      <c r="U8" s="218"/>
      <c r="V8" s="1667"/>
      <c r="W8" s="1669"/>
      <c r="X8" s="1667"/>
      <c r="Y8" s="1669"/>
      <c r="Z8" s="1593"/>
      <c r="AA8" s="1324" t="s">
        <v>66</v>
      </c>
      <c r="AB8" s="1593"/>
      <c r="AC8" s="1324" t="s">
        <v>66</v>
      </c>
      <c r="AD8" s="2093" t="s">
        <v>66</v>
      </c>
      <c r="AE8" s="2282"/>
      <c r="AF8" s="2281">
        <v>1</v>
      </c>
      <c r="AG8" s="2335"/>
      <c r="AH8" s="2031" t="s">
        <v>66</v>
      </c>
      <c r="AI8" s="2282"/>
      <c r="AJ8" s="2281">
        <v>1</v>
      </c>
      <c r="AK8" s="2334" t="s">
        <v>17</v>
      </c>
      <c r="AL8" s="2031" t="s">
        <v>66</v>
      </c>
      <c r="AM8" s="2081"/>
      <c r="AN8" s="2281">
        <v>1</v>
      </c>
      <c r="AO8" s="2339"/>
      <c r="AP8" s="2340" t="s">
        <v>66</v>
      </c>
      <c r="AQ8" s="231"/>
      <c r="AR8" s="1327">
        <v>1</v>
      </c>
      <c r="AS8" s="1330" t="s">
        <v>17</v>
      </c>
      <c r="AT8" s="1667"/>
      <c r="AU8" s="1669"/>
      <c r="AV8" s="1667"/>
      <c r="AW8" s="1669"/>
      <c r="AX8" s="1593"/>
      <c r="AY8" s="1324" t="s">
        <v>66</v>
      </c>
      <c r="AZ8" s="1593"/>
      <c r="BA8" s="1324" t="s">
        <v>66</v>
      </c>
      <c r="BB8" s="1675"/>
      <c r="BC8" s="2257" t="s">
        <v>1696</v>
      </c>
      <c r="BE8" s="428"/>
      <c r="BF8" s="428" t="str">
        <f t="shared" si="0"/>
        <v/>
      </c>
      <c r="BG8" s="428"/>
      <c r="BH8" s="428"/>
    </row>
    <row r="9" spans="1:60" ht="11.25" hidden="1" customHeight="1">
      <c r="A9" s="1244"/>
      <c r="B9" s="1244"/>
      <c r="C9" s="1244"/>
      <c r="D9" s="1244"/>
      <c r="E9" s="2236"/>
      <c r="F9" s="2236"/>
      <c r="G9" s="2236"/>
      <c r="H9" s="2236"/>
      <c r="I9" s="2238"/>
      <c r="J9" s="2238"/>
      <c r="K9" s="2237"/>
      <c r="L9" s="1245"/>
      <c r="P9" s="2157"/>
      <c r="Q9" s="2157"/>
      <c r="R9" s="2289"/>
      <c r="S9" s="2287"/>
      <c r="T9" s="2337"/>
      <c r="U9" s="218"/>
      <c r="V9" s="1683"/>
      <c r="W9" s="1689"/>
      <c r="X9" s="1683"/>
      <c r="Y9" s="1689"/>
      <c r="Z9" s="1683"/>
      <c r="AA9" s="1683"/>
      <c r="AB9" s="1683"/>
      <c r="AC9" s="1683"/>
      <c r="AD9" s="2094"/>
      <c r="AE9" s="2282"/>
      <c r="AF9" s="2281"/>
      <c r="AG9" s="2335"/>
      <c r="AH9" s="2031"/>
      <c r="AI9" s="2282"/>
      <c r="AJ9" s="2281"/>
      <c r="AK9" s="2334"/>
      <c r="AL9" s="2031"/>
      <c r="AM9" s="2086"/>
      <c r="AN9" s="2281"/>
      <c r="AO9" s="2339"/>
      <c r="AP9" s="2341"/>
      <c r="AQ9" s="238"/>
      <c r="AR9" s="351"/>
      <c r="AS9" s="351" t="s">
        <v>1697</v>
      </c>
      <c r="AT9" s="1683"/>
      <c r="AU9" s="1689"/>
      <c r="AV9" s="1683"/>
      <c r="AW9" s="1689"/>
      <c r="AX9" s="1683"/>
      <c r="AY9" s="1683"/>
      <c r="AZ9" s="1683"/>
      <c r="BA9" s="1683"/>
      <c r="BB9" s="1688"/>
      <c r="BC9" s="2258"/>
      <c r="BE9" s="428"/>
      <c r="BF9" s="428"/>
      <c r="BG9" s="428"/>
      <c r="BH9" s="428"/>
    </row>
    <row r="10" spans="1:60" ht="11.25" hidden="1" customHeight="1">
      <c r="A10" s="1244"/>
      <c r="B10" s="1244"/>
      <c r="C10" s="1244"/>
      <c r="D10" s="1244"/>
      <c r="E10" s="2236"/>
      <c r="F10" s="2236"/>
      <c r="G10" s="2236"/>
      <c r="H10" s="2236"/>
      <c r="I10" s="2238"/>
      <c r="J10" s="2238"/>
      <c r="K10" s="2237"/>
      <c r="L10" s="1245"/>
      <c r="P10" s="2157"/>
      <c r="Q10" s="2157"/>
      <c r="R10" s="2289"/>
      <c r="S10" s="2287"/>
      <c r="T10" s="2337"/>
      <c r="U10" s="218"/>
      <c r="V10" s="1683"/>
      <c r="W10" s="1689"/>
      <c r="X10" s="1683"/>
      <c r="Y10" s="1689"/>
      <c r="Z10" s="1683"/>
      <c r="AA10" s="1683"/>
      <c r="AB10" s="1683"/>
      <c r="AC10" s="1683"/>
      <c r="AD10" s="2094"/>
      <c r="AE10" s="2282"/>
      <c r="AF10" s="2281"/>
      <c r="AG10" s="2335"/>
      <c r="AH10" s="2031"/>
      <c r="AI10" s="2282"/>
      <c r="AJ10" s="2281"/>
      <c r="AK10" s="2334"/>
      <c r="AL10" s="2031"/>
      <c r="AM10" s="238"/>
      <c r="AN10" s="1361"/>
      <c r="AO10" s="1361" t="s">
        <v>1698</v>
      </c>
      <c r="AP10" s="351"/>
      <c r="AQ10" s="351"/>
      <c r="AR10" s="351"/>
      <c r="AS10" s="1683"/>
      <c r="AT10" s="1683"/>
      <c r="AU10" s="1689"/>
      <c r="AV10" s="1683"/>
      <c r="AW10" s="1689"/>
      <c r="AX10" s="1683"/>
      <c r="AY10" s="1683"/>
      <c r="AZ10" s="1683"/>
      <c r="BA10" s="1683"/>
      <c r="BB10" s="1688"/>
      <c r="BC10" s="2258"/>
      <c r="BE10" s="428"/>
      <c r="BF10" s="428"/>
      <c r="BG10" s="428"/>
      <c r="BH10" s="428"/>
    </row>
    <row r="11" spans="1:60" ht="11.25" hidden="1" customHeight="1">
      <c r="A11" s="1244"/>
      <c r="B11" s="1244"/>
      <c r="C11" s="1244"/>
      <c r="D11" s="1244"/>
      <c r="E11" s="2236"/>
      <c r="F11" s="2236"/>
      <c r="G11" s="2236"/>
      <c r="H11" s="2236"/>
      <c r="I11" s="2238"/>
      <c r="J11" s="2238"/>
      <c r="K11" s="2237"/>
      <c r="L11" s="1245"/>
      <c r="P11" s="2157"/>
      <c r="Q11" s="2157"/>
      <c r="R11" s="2289"/>
      <c r="S11" s="2287"/>
      <c r="T11" s="2337"/>
      <c r="U11" s="218"/>
      <c r="V11" s="1683"/>
      <c r="W11" s="1689"/>
      <c r="X11" s="1683"/>
      <c r="Y11" s="1689"/>
      <c r="Z11" s="1683"/>
      <c r="AA11" s="1683"/>
      <c r="AB11" s="1683"/>
      <c r="AC11" s="1683"/>
      <c r="AD11" s="2094"/>
      <c r="AE11" s="2282"/>
      <c r="AF11" s="2281"/>
      <c r="AG11" s="2335"/>
      <c r="AH11" s="2031"/>
      <c r="AI11" s="212"/>
      <c r="AJ11" s="350"/>
      <c r="AK11" s="233" t="s">
        <v>1699</v>
      </c>
      <c r="AL11" s="1683"/>
      <c r="AM11" s="1683"/>
      <c r="AN11" s="1683"/>
      <c r="AO11" s="1683"/>
      <c r="AP11" s="1683"/>
      <c r="AQ11" s="1683"/>
      <c r="AR11" s="1683"/>
      <c r="AS11" s="1683"/>
      <c r="AT11" s="1683"/>
      <c r="AU11" s="1689"/>
      <c r="AV11" s="1683"/>
      <c r="AW11" s="1689"/>
      <c r="AX11" s="1683"/>
      <c r="AY11" s="1683"/>
      <c r="AZ11" s="1683"/>
      <c r="BA11" s="1683"/>
      <c r="BB11" s="1688"/>
      <c r="BC11" s="2258"/>
      <c r="BE11" s="428"/>
      <c r="BF11" s="428"/>
      <c r="BG11" s="428"/>
      <c r="BH11" s="428"/>
    </row>
    <row r="12" spans="1:60" ht="11.25" hidden="1" customHeight="1">
      <c r="A12" s="1244"/>
      <c r="B12" s="1244"/>
      <c r="C12" s="1244"/>
      <c r="D12" s="1244"/>
      <c r="E12" s="2236"/>
      <c r="F12" s="2236"/>
      <c r="G12" s="2236"/>
      <c r="H12" s="2236"/>
      <c r="I12" s="2238"/>
      <c r="J12" s="2238"/>
      <c r="K12" s="2237"/>
      <c r="L12" s="1245"/>
      <c r="P12" s="2157"/>
      <c r="Q12" s="2157"/>
      <c r="R12" s="2289"/>
      <c r="S12" s="2288"/>
      <c r="T12" s="2338"/>
      <c r="U12" s="218"/>
      <c r="V12" s="1683"/>
      <c r="W12" s="1684" t="str">
        <f>Z8&amp;"-"&amp;AB8</f>
        <v>-</v>
      </c>
      <c r="X12" s="1683"/>
      <c r="Y12" s="1684" t="str">
        <f>AB8&amp;"-"&amp;AD8</f>
        <v>-да</v>
      </c>
      <c r="Z12" s="1683"/>
      <c r="AA12" s="1683"/>
      <c r="AB12" s="1683"/>
      <c r="AC12" s="1683"/>
      <c r="AD12" s="2036"/>
      <c r="AE12" s="232"/>
      <c r="AF12" s="234"/>
      <c r="AG12" s="351" t="s">
        <v>1700</v>
      </c>
      <c r="AH12" s="1683"/>
      <c r="AI12" s="1683"/>
      <c r="AJ12" s="1683"/>
      <c r="AK12" s="1683"/>
      <c r="AL12" s="1683"/>
      <c r="AM12" s="1683"/>
      <c r="AN12" s="1683"/>
      <c r="AO12" s="1683"/>
      <c r="AP12" s="1683"/>
      <c r="AQ12" s="1683"/>
      <c r="AR12" s="1683"/>
      <c r="AS12" s="1683"/>
      <c r="AT12" s="1683"/>
      <c r="AU12" s="1684" t="str">
        <f>AX8&amp;"-"&amp;AZ8</f>
        <v>-</v>
      </c>
      <c r="AV12" s="1683"/>
      <c r="AW12" s="1684" t="str">
        <f>AZ8&amp;"-"&amp;BB8</f>
        <v>-</v>
      </c>
      <c r="AX12" s="1683"/>
      <c r="AY12" s="1683"/>
      <c r="AZ12" s="1683"/>
      <c r="BA12" s="1683"/>
      <c r="BB12" s="1691" t="str">
        <f>BE8&amp;"-"&amp;BG8</f>
        <v>-</v>
      </c>
      <c r="BC12" s="2258"/>
      <c r="BE12" s="428"/>
      <c r="BF12" s="428" t="str">
        <f t="shared" ref="BF12:BF18" si="1">IF(T12="","",T12)</f>
        <v/>
      </c>
      <c r="BG12" s="428"/>
      <c r="BH12" s="428"/>
    </row>
    <row r="13" spans="1:60" ht="11.25" hidden="1" customHeight="1">
      <c r="A13" s="1244"/>
      <c r="B13" s="1244"/>
      <c r="C13" s="1244"/>
      <c r="D13" s="1244"/>
      <c r="E13" s="2236"/>
      <c r="F13" s="2236"/>
      <c r="G13" s="2236"/>
      <c r="H13" s="2236"/>
      <c r="I13" s="2238"/>
      <c r="J13" s="2237"/>
      <c r="K13" s="1244"/>
      <c r="L13" s="1245"/>
      <c r="P13" s="2157"/>
      <c r="Q13" s="2157"/>
      <c r="R13" s="280"/>
      <c r="S13" s="1161"/>
      <c r="T13" s="205" t="s">
        <v>1541</v>
      </c>
      <c r="U13" s="294"/>
      <c r="V13" s="294"/>
      <c r="W13" s="294"/>
      <c r="X13" s="294"/>
      <c r="Y13" s="294"/>
      <c r="Z13" s="294"/>
      <c r="AA13" s="294"/>
      <c r="AB13" s="294"/>
      <c r="AC13" s="294"/>
      <c r="AD13" s="1366"/>
      <c r="AE13" s="294"/>
      <c r="AF13" s="294"/>
      <c r="AG13" s="294"/>
      <c r="AH13" s="294"/>
      <c r="AI13" s="294"/>
      <c r="AJ13" s="294"/>
      <c r="AK13" s="294"/>
      <c r="AL13" s="294"/>
      <c r="AM13" s="294"/>
      <c r="AN13" s="294"/>
      <c r="AO13" s="294"/>
      <c r="AP13" s="294"/>
      <c r="AQ13" s="294"/>
      <c r="AR13" s="294"/>
      <c r="AS13" s="294"/>
      <c r="AT13" s="294"/>
      <c r="AU13" s="294"/>
      <c r="AV13" s="294"/>
      <c r="AW13" s="294"/>
      <c r="AX13" s="294"/>
      <c r="AY13" s="294"/>
      <c r="AZ13" s="294"/>
      <c r="BA13" s="294"/>
      <c r="BB13" s="251"/>
      <c r="BC13" s="2259"/>
      <c r="BE13" s="428"/>
      <c r="BF13" s="428" t="str">
        <f t="shared" si="1"/>
        <v>Добавить строку</v>
      </c>
      <c r="BG13" s="428"/>
      <c r="BH13" s="428"/>
    </row>
    <row r="14" spans="1:60" s="1772" customFormat="1" ht="14.25" hidden="1" customHeight="1">
      <c r="A14" s="1228"/>
      <c r="B14" s="1228"/>
      <c r="C14" s="1228"/>
      <c r="D14" s="1228"/>
      <c r="E14" s="2236"/>
      <c r="F14" s="2236"/>
      <c r="G14" s="2236"/>
      <c r="H14" s="2236"/>
      <c r="I14" s="2237"/>
      <c r="J14" s="1228"/>
      <c r="K14" s="1228"/>
      <c r="L14" s="1231"/>
      <c r="M14" s="438"/>
      <c r="N14" s="438"/>
      <c r="O14" s="438"/>
      <c r="P14" s="2157"/>
      <c r="Q14" s="1326"/>
      <c r="R14" s="280"/>
      <c r="S14" s="1266"/>
      <c r="T14" s="1267"/>
      <c r="U14" s="1268"/>
      <c r="V14" s="1268"/>
      <c r="W14" s="1268"/>
      <c r="X14" s="1268"/>
      <c r="Y14" s="1268"/>
      <c r="Z14" s="1268"/>
      <c r="AA14" s="1268"/>
      <c r="AB14" s="1268"/>
      <c r="AC14" s="1268"/>
      <c r="AD14" s="1268"/>
      <c r="AE14" s="1268"/>
      <c r="AF14" s="1268"/>
      <c r="AG14" s="1268"/>
      <c r="AH14" s="1268"/>
      <c r="AI14" s="1268"/>
      <c r="AJ14" s="1268"/>
      <c r="AK14" s="1268"/>
      <c r="AL14" s="1268"/>
      <c r="AM14" s="1268"/>
      <c r="AN14" s="1268"/>
      <c r="AO14" s="1268"/>
      <c r="AP14" s="1268"/>
      <c r="AQ14" s="1268"/>
      <c r="AR14" s="1268"/>
      <c r="AS14" s="1268"/>
      <c r="AT14" s="1268"/>
      <c r="AU14" s="1268"/>
      <c r="AV14" s="1268"/>
      <c r="AW14" s="1268"/>
      <c r="AX14" s="1268"/>
      <c r="AY14" s="1268"/>
      <c r="AZ14" s="1268"/>
      <c r="BA14" s="1268"/>
      <c r="BB14" s="1268"/>
      <c r="BC14" s="1269"/>
      <c r="BE14" s="428"/>
      <c r="BF14" s="428" t="str">
        <f t="shared" si="1"/>
        <v/>
      </c>
      <c r="BG14" s="428"/>
      <c r="BH14" s="428"/>
    </row>
    <row r="15" spans="1:60" s="1772" customFormat="1" ht="14.25" hidden="1" customHeight="1">
      <c r="A15" s="1228"/>
      <c r="B15" s="1228"/>
      <c r="C15" s="1228"/>
      <c r="D15" s="1228"/>
      <c r="E15" s="2236"/>
      <c r="F15" s="2236"/>
      <c r="G15" s="2236"/>
      <c r="H15" s="2235"/>
      <c r="I15" s="1228"/>
      <c r="J15" s="1228"/>
      <c r="K15" s="1228"/>
      <c r="L15" s="1231"/>
      <c r="M15" s="1201"/>
      <c r="N15" s="1201"/>
      <c r="O15" s="446"/>
      <c r="P15" s="311"/>
      <c r="Q15" s="1229"/>
      <c r="R15" s="1275"/>
      <c r="S15" s="1266"/>
      <c r="T15" s="1267"/>
      <c r="U15" s="1268"/>
      <c r="V15" s="1268"/>
      <c r="W15" s="1268"/>
      <c r="X15" s="1268"/>
      <c r="Y15" s="1268"/>
      <c r="Z15" s="1268"/>
      <c r="AA15" s="1268"/>
      <c r="AB15" s="1268"/>
      <c r="AC15" s="1268"/>
      <c r="AD15" s="1268"/>
      <c r="AE15" s="1268"/>
      <c r="AF15" s="1268"/>
      <c r="AG15" s="1268"/>
      <c r="AH15" s="1268"/>
      <c r="AI15" s="1268"/>
      <c r="AJ15" s="1268"/>
      <c r="AK15" s="1268"/>
      <c r="AL15" s="1268"/>
      <c r="AM15" s="1268"/>
      <c r="AN15" s="1268"/>
      <c r="AO15" s="1268"/>
      <c r="AP15" s="1268"/>
      <c r="AQ15" s="1268"/>
      <c r="AR15" s="1268"/>
      <c r="AS15" s="1268"/>
      <c r="AT15" s="1268"/>
      <c r="AU15" s="1268"/>
      <c r="AV15" s="1268"/>
      <c r="AW15" s="1268"/>
      <c r="AX15" s="1268"/>
      <c r="AY15" s="1268"/>
      <c r="AZ15" s="1268"/>
      <c r="BA15" s="1268"/>
      <c r="BB15" s="1268"/>
      <c r="BC15" s="1269"/>
      <c r="BE15" s="428"/>
      <c r="BF15" s="428" t="str">
        <f t="shared" si="1"/>
        <v/>
      </c>
      <c r="BG15" s="428"/>
      <c r="BH15" s="428"/>
    </row>
    <row r="16" spans="1:60" s="1772" customFormat="1" ht="14.25" hidden="1" customHeight="1">
      <c r="A16" s="1228"/>
      <c r="B16" s="1228"/>
      <c r="C16" s="1228"/>
      <c r="D16" s="1200"/>
      <c r="E16" s="2236"/>
      <c r="F16" s="2236"/>
      <c r="G16" s="2235"/>
      <c r="H16" s="1200"/>
      <c r="I16" s="1200"/>
      <c r="J16" s="1200"/>
      <c r="K16" s="1200"/>
      <c r="L16" s="1328"/>
      <c r="M16" s="1201"/>
      <c r="N16" s="1201"/>
      <c r="P16" s="1202"/>
      <c r="Q16" s="1203"/>
      <c r="R16" s="1202"/>
      <c r="S16" s="1208"/>
      <c r="T16" s="1211"/>
      <c r="U16" s="1210"/>
      <c r="V16" s="1210"/>
      <c r="W16" s="1210"/>
      <c r="X16" s="1210"/>
      <c r="Y16" s="1210"/>
      <c r="Z16" s="1210"/>
      <c r="AA16" s="1210"/>
      <c r="AB16" s="1210"/>
      <c r="AC16" s="1210"/>
      <c r="AD16" s="1210"/>
      <c r="AE16" s="1210"/>
      <c r="AF16" s="1210"/>
      <c r="AG16" s="1210"/>
      <c r="AH16" s="1210"/>
      <c r="AI16" s="1210"/>
      <c r="AJ16" s="1210"/>
      <c r="AK16" s="1210"/>
      <c r="AL16" s="1210"/>
      <c r="AM16" s="1210"/>
      <c r="AN16" s="1210"/>
      <c r="AO16" s="1210"/>
      <c r="AP16" s="1210"/>
      <c r="AQ16" s="1210"/>
      <c r="AR16" s="1210"/>
      <c r="AS16" s="1210"/>
      <c r="AT16" s="1210"/>
      <c r="AU16" s="1210"/>
      <c r="AV16" s="1210"/>
      <c r="AW16" s="1210"/>
      <c r="AX16" s="1210"/>
      <c r="AY16" s="1210"/>
      <c r="AZ16" s="1210"/>
      <c r="BA16" s="1210"/>
      <c r="BB16" s="1210"/>
      <c r="BC16" s="1210"/>
      <c r="BE16" s="696"/>
      <c r="BF16" s="696" t="str">
        <f t="shared" si="1"/>
        <v/>
      </c>
      <c r="BG16" s="696"/>
      <c r="BH16" s="696"/>
    </row>
    <row r="17" spans="1:60" s="1772" customFormat="1" ht="14.25" hidden="1" customHeight="1">
      <c r="A17" s="1228"/>
      <c r="B17" s="1228"/>
      <c r="C17" s="1200"/>
      <c r="D17" s="1200"/>
      <c r="E17" s="2236"/>
      <c r="F17" s="2235"/>
      <c r="G17" s="1200"/>
      <c r="H17" s="1200"/>
      <c r="I17" s="1200"/>
      <c r="J17" s="1200"/>
      <c r="K17" s="1200"/>
      <c r="L17" s="1328"/>
      <c r="M17" s="1207"/>
      <c r="N17" s="1207"/>
      <c r="P17" s="1202"/>
      <c r="Q17" s="1203"/>
      <c r="R17" s="1202"/>
      <c r="S17" s="1208"/>
      <c r="T17" s="1211" t="s">
        <v>1437</v>
      </c>
      <c r="U17" s="1210"/>
      <c r="V17" s="1210"/>
      <c r="W17" s="1210"/>
      <c r="X17" s="1210"/>
      <c r="Y17" s="1210"/>
      <c r="Z17" s="1210"/>
      <c r="AA17" s="1210"/>
      <c r="AB17" s="1210"/>
      <c r="AC17" s="1210"/>
      <c r="AD17" s="1210"/>
      <c r="AE17" s="1210"/>
      <c r="AF17" s="1210"/>
      <c r="AG17" s="1210"/>
      <c r="AH17" s="1210"/>
      <c r="AI17" s="1210"/>
      <c r="AJ17" s="1210"/>
      <c r="AK17" s="1210"/>
      <c r="AL17" s="1210"/>
      <c r="AM17" s="1210"/>
      <c r="AN17" s="1210"/>
      <c r="AO17" s="1210"/>
      <c r="AP17" s="1210"/>
      <c r="AQ17" s="1210"/>
      <c r="AR17" s="1210"/>
      <c r="AS17" s="1210"/>
      <c r="AT17" s="1210"/>
      <c r="AU17" s="1210"/>
      <c r="AV17" s="1210"/>
      <c r="AW17" s="1210"/>
      <c r="AX17" s="1210"/>
      <c r="AY17" s="1210"/>
      <c r="AZ17" s="1210"/>
      <c r="BA17" s="1210"/>
      <c r="BB17" s="1210"/>
      <c r="BC17" s="1210"/>
      <c r="BE17" s="696"/>
      <c r="BF17" s="696" t="str">
        <f t="shared" si="1"/>
        <v>Добавить централизованную систему для дифференциации</v>
      </c>
      <c r="BG17" s="696"/>
      <c r="BH17" s="696"/>
    </row>
    <row r="18" spans="1:60" s="1772" customFormat="1" ht="14.25" hidden="1" customHeight="1">
      <c r="A18" s="1228"/>
      <c r="B18" s="1228"/>
      <c r="C18" s="1228"/>
      <c r="D18" s="1228"/>
      <c r="E18" s="2235"/>
      <c r="F18" s="1228"/>
      <c r="G18" s="1228"/>
      <c r="H18" s="1228"/>
      <c r="I18" s="1228"/>
      <c r="J18" s="1228"/>
      <c r="K18" s="1228"/>
      <c r="L18" s="1231"/>
      <c r="M18" s="1207"/>
      <c r="N18" s="1207"/>
      <c r="O18" s="446"/>
      <c r="P18" s="311"/>
      <c r="Q18" s="1229"/>
      <c r="R18" s="311"/>
      <c r="S18" s="1208"/>
      <c r="T18" s="1211" t="s">
        <v>1438</v>
      </c>
      <c r="U18" s="1210"/>
      <c r="V18" s="1210"/>
      <c r="W18" s="1210"/>
      <c r="X18" s="1210"/>
      <c r="Y18" s="1210"/>
      <c r="Z18" s="1210"/>
      <c r="AA18" s="1210"/>
      <c r="AB18" s="1210"/>
      <c r="AC18" s="1210"/>
      <c r="AD18" s="1210"/>
      <c r="AE18" s="1210"/>
      <c r="AF18" s="1210"/>
      <c r="AG18" s="1210"/>
      <c r="AH18" s="1210"/>
      <c r="AI18" s="1210"/>
      <c r="AJ18" s="1210"/>
      <c r="AK18" s="1210"/>
      <c r="AL18" s="1210"/>
      <c r="AM18" s="1210"/>
      <c r="AN18" s="1210"/>
      <c r="AO18" s="1210"/>
      <c r="AP18" s="1210"/>
      <c r="AQ18" s="1210"/>
      <c r="AR18" s="1210"/>
      <c r="AS18" s="1210"/>
      <c r="AT18" s="1210"/>
      <c r="AU18" s="1210"/>
      <c r="AV18" s="1210"/>
      <c r="AW18" s="1210"/>
      <c r="AX18" s="1210"/>
      <c r="AY18" s="1210"/>
      <c r="AZ18" s="1210"/>
      <c r="BA18" s="1210"/>
      <c r="BB18" s="1210"/>
      <c r="BC18" s="1210"/>
      <c r="BE18" s="428"/>
      <c r="BF18" s="428" t="str">
        <f t="shared" si="1"/>
        <v>Добавить территорию для дифференциации</v>
      </c>
      <c r="BG18" s="428"/>
      <c r="BH18" s="428"/>
    </row>
    <row r="19" spans="1:60" ht="14.25" hidden="1" customHeight="1">
      <c r="AC19" s="254"/>
      <c r="BA19" s="254"/>
    </row>
    <row r="20" spans="1:60" ht="14.25" hidden="1" customHeight="1">
      <c r="AD20" s="1210" t="s">
        <v>56</v>
      </c>
      <c r="AE20" s="1362"/>
      <c r="AF20" s="475">
        <v>1</v>
      </c>
      <c r="AG20" s="1363"/>
      <c r="AH20" s="1210" t="s">
        <v>56</v>
      </c>
      <c r="AI20" s="1362"/>
      <c r="AJ20" s="475">
        <v>1</v>
      </c>
      <c r="AK20" s="1363"/>
      <c r="AL20" s="1210" t="s">
        <v>56</v>
      </c>
      <c r="AM20" s="1364"/>
      <c r="AN20" s="475">
        <v>1</v>
      </c>
      <c r="AO20" s="1365"/>
      <c r="AP20" s="1210" t="s">
        <v>56</v>
      </c>
      <c r="AQ20" s="1364"/>
      <c r="AR20" s="475">
        <v>1</v>
      </c>
      <c r="AS20" s="1365"/>
      <c r="AT20" s="1668"/>
      <c r="AU20" s="1678"/>
      <c r="AV20" s="1668"/>
      <c r="AW20" s="1678"/>
      <c r="AX20" s="1595"/>
      <c r="AY20" s="1325" t="s">
        <v>66</v>
      </c>
      <c r="AZ20" s="1595"/>
      <c r="BA20" s="1325" t="s">
        <v>66</v>
      </c>
    </row>
    <row r="21" spans="1:60" ht="14.25" hidden="1" customHeight="1">
      <c r="BD21" s="424"/>
      <c r="BE21" s="424"/>
      <c r="BF21" s="424"/>
      <c r="BG21" s="424"/>
      <c r="BH21" s="424"/>
    </row>
    <row r="22" spans="1:60" ht="14.25" hidden="1" customHeight="1">
      <c r="O22" s="1248" t="s">
        <v>1478</v>
      </c>
      <c r="Z22" s="1230"/>
      <c r="AB22" s="1230"/>
      <c r="AC22" s="254"/>
      <c r="AX22" s="1230"/>
      <c r="AZ22" s="1230"/>
      <c r="BA22" s="254"/>
      <c r="BD22" s="424"/>
      <c r="BE22" s="424"/>
      <c r="BF22" s="424"/>
      <c r="BG22" s="424"/>
      <c r="BH22" s="424"/>
    </row>
    <row r="23" spans="1:60" ht="14.25" hidden="1" customHeight="1">
      <c r="AC23" s="254"/>
      <c r="BA23" s="254"/>
      <c r="BD23" s="424"/>
      <c r="BE23" s="424"/>
      <c r="BF23" s="424"/>
      <c r="BG23" s="424"/>
      <c r="BH23" s="424"/>
    </row>
    <row r="24" spans="1:60" s="1694" customFormat="1" ht="14.25" hidden="1" customHeight="1">
      <c r="M24" s="1369"/>
      <c r="N24" s="1369"/>
      <c r="O24" s="1370" t="s">
        <v>1479</v>
      </c>
      <c r="P24" s="1369"/>
      <c r="Q24" s="1371"/>
      <c r="R24" s="1371"/>
      <c r="AA24" s="1368" t="s">
        <v>1481</v>
      </c>
      <c r="AC24" s="1368" t="s">
        <v>1482</v>
      </c>
      <c r="AD24" s="1368" t="s">
        <v>1542</v>
      </c>
      <c r="AH24" s="1368" t="s">
        <v>1542</v>
      </c>
      <c r="AK24" s="1368" t="s">
        <v>1701</v>
      </c>
      <c r="AL24" s="1368" t="s">
        <v>1542</v>
      </c>
      <c r="AP24" s="1368" t="s">
        <v>1542</v>
      </c>
      <c r="AY24" s="1368" t="s">
        <v>1481</v>
      </c>
      <c r="BA24" s="1368" t="s">
        <v>1482</v>
      </c>
      <c r="BD24" s="1372"/>
      <c r="BE24" s="1372"/>
      <c r="BF24" s="1372"/>
      <c r="BG24" s="1372"/>
      <c r="BH24" s="1372"/>
    </row>
    <row r="25" spans="1:60" ht="14.25" hidden="1" customHeight="1">
      <c r="O25" s="1245"/>
      <c r="BD25" s="424"/>
      <c r="BE25" s="424"/>
      <c r="BF25" s="424"/>
      <c r="BG25" s="424"/>
      <c r="BH25" s="424"/>
    </row>
    <row r="26" spans="1:60" ht="14.25" hidden="1" customHeight="1">
      <c r="O26" s="1245"/>
      <c r="BD26" s="424"/>
      <c r="BE26" s="424"/>
      <c r="BF26" s="424"/>
      <c r="BG26" s="424"/>
      <c r="BH26" s="424"/>
    </row>
    <row r="27" spans="1:60" ht="14.25" customHeight="1">
      <c r="Q27" s="209"/>
      <c r="R27" s="304"/>
      <c r="S27" s="1158"/>
      <c r="T27" s="289"/>
      <c r="U27" s="289"/>
      <c r="V27" s="437"/>
      <c r="W27" s="437"/>
      <c r="X27" s="437"/>
      <c r="Y27" s="437"/>
      <c r="Z27" s="437"/>
      <c r="AA27" s="437"/>
      <c r="AB27" s="437"/>
      <c r="AC27" s="437"/>
      <c r="AD27" s="437"/>
      <c r="AE27" s="437"/>
      <c r="AF27" s="437"/>
      <c r="AG27" s="437"/>
      <c r="AH27" s="437"/>
      <c r="AI27" s="437"/>
      <c r="AJ27" s="437"/>
      <c r="AK27" s="437"/>
      <c r="AL27" s="437"/>
      <c r="AM27" s="437"/>
      <c r="AN27" s="437"/>
      <c r="AO27" s="437"/>
      <c r="AP27" s="437"/>
      <c r="AQ27" s="437"/>
      <c r="AR27" s="437"/>
      <c r="AS27" s="437"/>
      <c r="AT27" s="437"/>
      <c r="AU27" s="437"/>
      <c r="AV27" s="437"/>
      <c r="AW27" s="437"/>
      <c r="AX27" s="437"/>
      <c r="AY27" s="437"/>
      <c r="AZ27" s="437"/>
      <c r="BA27" s="437"/>
    </row>
    <row r="28" spans="1:60" ht="33.75" customHeight="1">
      <c r="Q28" s="209"/>
      <c r="R28" s="304"/>
      <c r="S28" s="2079" t="str">
        <f>IF(TEMPLATE_GROUP="P",PT_P_FORM_COLDVSNA_5_NAME_FORM,PT_R_FORM_COLDVSNA_17_NAME_FORM)</f>
        <v>Форма 16.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 &lt;1&gt;</v>
      </c>
      <c r="T28" s="2079"/>
      <c r="U28" s="2079"/>
      <c r="V28" s="2079"/>
      <c r="W28" s="2079"/>
      <c r="X28" s="2079"/>
      <c r="Y28" s="2079"/>
      <c r="Z28" s="2079"/>
      <c r="AA28" s="2079"/>
      <c r="AB28" s="2079"/>
      <c r="AC28" s="2079"/>
      <c r="AD28" s="2079"/>
      <c r="AE28" s="2079"/>
      <c r="AF28" s="2079"/>
      <c r="AG28" s="2079"/>
      <c r="AH28" s="2079"/>
      <c r="AI28" s="2079"/>
      <c r="AJ28" s="2079"/>
      <c r="AK28" s="2079"/>
      <c r="AL28" s="2079"/>
      <c r="AM28" s="2079"/>
      <c r="AN28" s="2079"/>
      <c r="AO28" s="2079"/>
      <c r="AP28" s="2079"/>
      <c r="AQ28" s="2079"/>
      <c r="AR28" s="2079"/>
      <c r="AS28" s="2079"/>
      <c r="AT28" s="2079"/>
      <c r="AU28" s="2079"/>
      <c r="AV28" s="2079"/>
      <c r="AW28" s="2079"/>
      <c r="AX28" s="2079"/>
      <c r="AY28" s="2079"/>
      <c r="AZ28" s="2079"/>
      <c r="BA28" s="1116"/>
    </row>
    <row r="29" spans="1:60" ht="14.25" customHeight="1">
      <c r="Q29" s="209"/>
      <c r="R29" s="304"/>
      <c r="S29" s="2102" t="str">
        <f>IF(org=0,"Не определено",org)</f>
        <v>ООО "Автозаводская ТЭЦ"</v>
      </c>
      <c r="T29" s="2102"/>
      <c r="U29" s="2102"/>
      <c r="V29" s="2102"/>
      <c r="W29" s="2102"/>
      <c r="X29" s="2102"/>
      <c r="Y29" s="2102"/>
      <c r="Z29" s="2102"/>
      <c r="AA29" s="2102"/>
      <c r="AB29" s="2102"/>
      <c r="AC29" s="2102"/>
      <c r="AD29" s="2102"/>
      <c r="AE29" s="2102"/>
      <c r="AF29" s="2102"/>
      <c r="AG29" s="2102"/>
      <c r="AH29" s="2102"/>
      <c r="AI29" s="2102"/>
      <c r="AJ29" s="2102"/>
      <c r="AK29" s="2102"/>
      <c r="AL29" s="2102"/>
      <c r="AM29" s="2102"/>
      <c r="AN29" s="2102"/>
      <c r="AO29" s="2102"/>
      <c r="AP29" s="2102"/>
      <c r="AQ29" s="2102"/>
      <c r="AR29" s="2102"/>
      <c r="AS29" s="2102"/>
      <c r="AT29" s="2102"/>
      <c r="AU29" s="2102"/>
      <c r="AV29" s="2102"/>
      <c r="AW29" s="2102"/>
      <c r="AX29" s="2102"/>
      <c r="AY29" s="2102"/>
      <c r="AZ29" s="2102"/>
      <c r="BA29" s="1116"/>
    </row>
    <row r="30" spans="1:60" ht="14.25" hidden="1" customHeight="1">
      <c r="Q30" s="209"/>
      <c r="R30" s="304"/>
      <c r="S30" s="1158"/>
      <c r="T30" s="289"/>
      <c r="U30" s="289"/>
      <c r="V30" s="248"/>
      <c r="W30" s="248"/>
      <c r="X30" s="248"/>
      <c r="Y30" s="248"/>
      <c r="Z30" s="248"/>
      <c r="AA30" s="248"/>
      <c r="AB30" s="248"/>
      <c r="AC30" s="248"/>
      <c r="AD30" s="248"/>
      <c r="AE30" s="248"/>
      <c r="AF30" s="248"/>
      <c r="AG30" s="248"/>
      <c r="AH30" s="248"/>
      <c r="AI30" s="248"/>
      <c r="AJ30" s="248"/>
      <c r="AK30" s="248"/>
      <c r="AL30" s="248"/>
      <c r="AM30" s="248"/>
      <c r="AN30" s="248"/>
      <c r="AO30" s="248"/>
      <c r="AP30" s="248"/>
      <c r="AQ30" s="248"/>
      <c r="AR30" s="248"/>
      <c r="AS30" s="248"/>
      <c r="AT30" s="248"/>
      <c r="AU30" s="248"/>
      <c r="AV30" s="248"/>
      <c r="AW30" s="248"/>
      <c r="AX30" s="248"/>
      <c r="AY30" s="248"/>
      <c r="AZ30" s="248"/>
      <c r="BA30" s="248"/>
      <c r="BB30" s="437"/>
    </row>
    <row r="31" spans="1:60" s="1950" customFormat="1" ht="25.5" hidden="1" customHeight="1">
      <c r="A31" s="1249"/>
      <c r="B31" s="1249"/>
      <c r="C31" s="1249"/>
      <c r="D31" s="1249"/>
      <c r="E31" s="1249"/>
      <c r="F31" s="1249"/>
      <c r="G31" s="1249"/>
      <c r="H31" s="1249"/>
      <c r="I31" s="1249"/>
      <c r="J31" s="1249"/>
      <c r="K31" s="1249"/>
      <c r="L31" s="1250"/>
      <c r="M31" s="1249"/>
      <c r="N31" s="1249"/>
      <c r="O31" s="1249"/>
      <c r="P31" s="1249"/>
      <c r="Q31" s="1249"/>
      <c r="S31" s="2227" t="s">
        <v>38</v>
      </c>
      <c r="T31" s="2227"/>
      <c r="U31" s="1253"/>
      <c r="V31" s="2228"/>
      <c r="W31" s="2228"/>
      <c r="X31" s="2228"/>
      <c r="Y31" s="2228"/>
      <c r="Z31" s="2228"/>
      <c r="AA31" s="2228"/>
      <c r="AB31" s="2228"/>
      <c r="AC31" s="253"/>
      <c r="AD31" s="2228" t="str">
        <f>IF(TITLE_NAME_OR_PR_CHANGE="",IF(TITLE_NAME_OR_PR="","",TITLE_NAME_OR_PR),TITLE_NAME_OR_PR_CHANGE)</f>
        <v/>
      </c>
      <c r="AE31" s="2228"/>
      <c r="AF31" s="2228"/>
      <c r="AG31" s="2228"/>
      <c r="AH31" s="2228"/>
      <c r="AI31" s="2228"/>
      <c r="AJ31" s="2228"/>
      <c r="AK31" s="2228"/>
      <c r="AL31" s="2228"/>
      <c r="AM31" s="2228"/>
      <c r="AN31" s="2228"/>
      <c r="AO31" s="2228"/>
      <c r="AP31" s="2228"/>
      <c r="AQ31" s="2228"/>
      <c r="AR31" s="2228"/>
      <c r="AS31" s="2228"/>
      <c r="AT31" s="2228"/>
      <c r="AU31" s="2228"/>
      <c r="AV31" s="2228"/>
      <c r="AW31" s="2228"/>
      <c r="AX31" s="2228"/>
      <c r="AY31" s="2228"/>
      <c r="AZ31" s="2228"/>
      <c r="BA31" s="253"/>
      <c r="BB31" s="253"/>
      <c r="BC31" s="199"/>
      <c r="BD31" s="295"/>
      <c r="BE31" s="295"/>
      <c r="BF31" s="295"/>
      <c r="BG31" s="295"/>
      <c r="BH31" s="295"/>
    </row>
    <row r="32" spans="1:60" s="1950" customFormat="1" ht="18.75" hidden="1" customHeight="1">
      <c r="A32" s="1249"/>
      <c r="B32" s="1249"/>
      <c r="C32" s="1249"/>
      <c r="D32" s="1249"/>
      <c r="E32" s="1249"/>
      <c r="F32" s="1249"/>
      <c r="G32" s="1249"/>
      <c r="H32" s="1249"/>
      <c r="I32" s="1249"/>
      <c r="J32" s="1249"/>
      <c r="K32" s="1249"/>
      <c r="L32" s="1250"/>
      <c r="M32" s="1249"/>
      <c r="N32" s="1249"/>
      <c r="O32" s="1249"/>
      <c r="P32" s="1249"/>
      <c r="Q32" s="1249"/>
      <c r="S32" s="2227" t="s">
        <v>1484</v>
      </c>
      <c r="T32" s="2227"/>
      <c r="U32" s="1253"/>
      <c r="V32" s="2228"/>
      <c r="W32" s="2228"/>
      <c r="X32" s="2228"/>
      <c r="Y32" s="2228"/>
      <c r="Z32" s="2228"/>
      <c r="AA32" s="2228"/>
      <c r="AB32" s="2228"/>
      <c r="AC32" s="253"/>
      <c r="AD32" s="2228" t="str">
        <f>IF(TITLE_DATE_CHANGE_PERIOD="",IF(TITLE_DATE_PR="","",TITLE_DATE_PR),TITLE_DATE_CHANGE_PERIOD)</f>
        <v/>
      </c>
      <c r="AE32" s="2228"/>
      <c r="AF32" s="2228"/>
      <c r="AG32" s="2228"/>
      <c r="AH32" s="2228"/>
      <c r="AI32" s="2228"/>
      <c r="AJ32" s="2228"/>
      <c r="AK32" s="2228"/>
      <c r="AL32" s="2228"/>
      <c r="AM32" s="2228"/>
      <c r="AN32" s="2228"/>
      <c r="AO32" s="2228"/>
      <c r="AP32" s="2228"/>
      <c r="AQ32" s="2228"/>
      <c r="AR32" s="2228"/>
      <c r="AS32" s="2228"/>
      <c r="AT32" s="2228"/>
      <c r="AU32" s="2228"/>
      <c r="AV32" s="2228"/>
      <c r="AW32" s="2228"/>
      <c r="AX32" s="2228"/>
      <c r="AY32" s="2228"/>
      <c r="AZ32" s="2228"/>
      <c r="BA32" s="253"/>
      <c r="BB32" s="253"/>
      <c r="BC32" s="199"/>
      <c r="BD32" s="295"/>
      <c r="BE32" s="295"/>
      <c r="BF32" s="295"/>
      <c r="BG32" s="295"/>
      <c r="BH32" s="295"/>
    </row>
    <row r="33" spans="1:60" s="1950" customFormat="1" ht="18.75" hidden="1" customHeight="1">
      <c r="A33" s="1249"/>
      <c r="B33" s="1249"/>
      <c r="C33" s="1249"/>
      <c r="D33" s="1249"/>
      <c r="E33" s="1249"/>
      <c r="F33" s="1249"/>
      <c r="G33" s="1249"/>
      <c r="H33" s="1249"/>
      <c r="I33" s="1249"/>
      <c r="J33" s="1249"/>
      <c r="K33" s="1249"/>
      <c r="L33" s="1250"/>
      <c r="M33" s="1249"/>
      <c r="N33" s="1249"/>
      <c r="O33" s="1249"/>
      <c r="P33" s="1249"/>
      <c r="Q33" s="1249"/>
      <c r="S33" s="2227" t="s">
        <v>1485</v>
      </c>
      <c r="T33" s="2227"/>
      <c r="U33" s="1253"/>
      <c r="V33" s="2228"/>
      <c r="W33" s="2228"/>
      <c r="X33" s="2228"/>
      <c r="Y33" s="2228"/>
      <c r="Z33" s="2228"/>
      <c r="AA33" s="2228"/>
      <c r="AB33" s="2228"/>
      <c r="AC33" s="253"/>
      <c r="AD33" s="2228" t="str">
        <f>IF(TITLE_NUMBER_PR_CHANGE="",IF(TITLE_NUMBER_PR="","",TITLE_NUMBER_PR),TITLE_NUMBER_PR_CHANGE)</f>
        <v/>
      </c>
      <c r="AE33" s="2228"/>
      <c r="AF33" s="2228"/>
      <c r="AG33" s="2228"/>
      <c r="AH33" s="2228"/>
      <c r="AI33" s="2228"/>
      <c r="AJ33" s="2228"/>
      <c r="AK33" s="2228"/>
      <c r="AL33" s="2228"/>
      <c r="AM33" s="2228"/>
      <c r="AN33" s="2228"/>
      <c r="AO33" s="2228"/>
      <c r="AP33" s="2228"/>
      <c r="AQ33" s="2228"/>
      <c r="AR33" s="2228"/>
      <c r="AS33" s="2228"/>
      <c r="AT33" s="2228"/>
      <c r="AU33" s="2228"/>
      <c r="AV33" s="2228"/>
      <c r="AW33" s="2228"/>
      <c r="AX33" s="2228"/>
      <c r="AY33" s="2228"/>
      <c r="AZ33" s="2228"/>
      <c r="BA33" s="253"/>
      <c r="BB33" s="253"/>
      <c r="BC33" s="199"/>
      <c r="BD33" s="295"/>
      <c r="BE33" s="295"/>
      <c r="BF33" s="295"/>
      <c r="BG33" s="295"/>
      <c r="BH33" s="295"/>
    </row>
    <row r="34" spans="1:60" s="1950" customFormat="1" ht="18.75" hidden="1" customHeight="1">
      <c r="A34" s="1249"/>
      <c r="B34" s="1249"/>
      <c r="C34" s="1249"/>
      <c r="D34" s="1249"/>
      <c r="E34" s="1249"/>
      <c r="F34" s="1249"/>
      <c r="G34" s="1249"/>
      <c r="H34" s="1249"/>
      <c r="I34" s="1249"/>
      <c r="J34" s="1249"/>
      <c r="K34" s="1249"/>
      <c r="L34" s="1250"/>
      <c r="M34" s="1249"/>
      <c r="N34" s="1249"/>
      <c r="O34" s="1249"/>
      <c r="P34" s="1249"/>
      <c r="Q34" s="1249"/>
      <c r="S34" s="2227" t="s">
        <v>39</v>
      </c>
      <c r="T34" s="2227"/>
      <c r="U34" s="1253"/>
      <c r="V34" s="2228"/>
      <c r="W34" s="2228"/>
      <c r="X34" s="2228"/>
      <c r="Y34" s="2228"/>
      <c r="Z34" s="2228"/>
      <c r="AA34" s="2228"/>
      <c r="AB34" s="2228"/>
      <c r="AC34" s="253"/>
      <c r="AD34" s="2228" t="str">
        <f>IF(TITLE_IST_PUB_CHANGE="",IF(TITLE_IST_PUB="","",TITLE_IST_PUB),TITLE_IST_PUB_CHANGE)</f>
        <v/>
      </c>
      <c r="AE34" s="2228"/>
      <c r="AF34" s="2228"/>
      <c r="AG34" s="2228"/>
      <c r="AH34" s="2228"/>
      <c r="AI34" s="2228"/>
      <c r="AJ34" s="2228"/>
      <c r="AK34" s="2228"/>
      <c r="AL34" s="2228"/>
      <c r="AM34" s="2228"/>
      <c r="AN34" s="2228"/>
      <c r="AO34" s="2228"/>
      <c r="AP34" s="2228"/>
      <c r="AQ34" s="2228"/>
      <c r="AR34" s="2228"/>
      <c r="AS34" s="2228"/>
      <c r="AT34" s="2228"/>
      <c r="AU34" s="2228"/>
      <c r="AV34" s="2228"/>
      <c r="AW34" s="2228"/>
      <c r="AX34" s="2228"/>
      <c r="AY34" s="2228"/>
      <c r="AZ34" s="2228"/>
      <c r="BA34" s="253"/>
      <c r="BB34" s="253"/>
      <c r="BC34" s="199"/>
      <c r="BD34" s="295"/>
      <c r="BE34" s="295"/>
      <c r="BF34" s="295"/>
      <c r="BG34" s="295"/>
      <c r="BH34" s="295"/>
    </row>
    <row r="35" spans="1:60" ht="14.25" hidden="1" customHeight="1">
      <c r="Q35" s="209"/>
      <c r="R35" s="304"/>
      <c r="S35" s="1158"/>
      <c r="T35" s="289"/>
      <c r="U35" s="289"/>
      <c r="V35" s="248"/>
      <c r="W35" s="248"/>
      <c r="X35" s="248"/>
      <c r="Y35" s="248"/>
      <c r="Z35" s="248"/>
      <c r="AA35" s="248"/>
      <c r="AB35" s="248"/>
      <c r="AC35" s="248"/>
      <c r="AD35" s="248"/>
      <c r="AE35" s="248"/>
      <c r="AF35" s="248"/>
      <c r="AG35" s="248"/>
      <c r="AH35" s="248"/>
      <c r="AI35" s="248"/>
      <c r="AJ35" s="248"/>
      <c r="AK35" s="248"/>
      <c r="AL35" s="248"/>
      <c r="AM35" s="248"/>
      <c r="AN35" s="248"/>
      <c r="AO35" s="248"/>
      <c r="AP35" s="248"/>
      <c r="AQ35" s="248"/>
      <c r="AR35" s="248"/>
      <c r="AS35" s="248"/>
      <c r="AT35" s="248"/>
      <c r="AU35" s="248"/>
      <c r="AV35" s="248"/>
      <c r="AW35" s="248"/>
      <c r="AX35" s="248"/>
      <c r="AY35" s="248"/>
      <c r="AZ35" s="248"/>
      <c r="BA35" s="248"/>
      <c r="BB35" s="437"/>
    </row>
    <row r="36" spans="1:60" s="1950" customFormat="1" ht="18.75" hidden="1" customHeight="1">
      <c r="A36" s="1249"/>
      <c r="B36" s="1249"/>
      <c r="C36" s="1249"/>
      <c r="D36" s="1249"/>
      <c r="E36" s="1249"/>
      <c r="F36" s="1249"/>
      <c r="G36" s="1249"/>
      <c r="H36" s="1249"/>
      <c r="I36" s="1249"/>
      <c r="J36" s="1249"/>
      <c r="K36" s="1249"/>
      <c r="L36" s="1250"/>
      <c r="M36" s="1249"/>
      <c r="N36" s="1249"/>
      <c r="O36" s="1249"/>
      <c r="P36" s="1249"/>
      <c r="Q36" s="1249"/>
      <c r="S36" s="2227" t="s">
        <v>1484</v>
      </c>
      <c r="T36" s="2227"/>
      <c r="U36" s="1253"/>
      <c r="V36" s="2228"/>
      <c r="W36" s="2228"/>
      <c r="X36" s="2228"/>
      <c r="Y36" s="2228"/>
      <c r="Z36" s="2228"/>
      <c r="AA36" s="2228"/>
      <c r="AB36" s="2228"/>
      <c r="AC36" s="253"/>
      <c r="AD36" s="2228" t="str">
        <f>IF(TITLE_DATE_CHANGE_PERIOD="",IF(TITLE_DATE_PR="","",TITLE_DATE_PR),TITLE_DATE_CHANGE_PERIOD)</f>
        <v/>
      </c>
      <c r="AE36" s="2228"/>
      <c r="AF36" s="2228"/>
      <c r="AG36" s="2228"/>
      <c r="AH36" s="2228"/>
      <c r="AI36" s="2228"/>
      <c r="AJ36" s="2228"/>
      <c r="AK36" s="2228"/>
      <c r="AL36" s="2228"/>
      <c r="AM36" s="2228"/>
      <c r="AN36" s="2228"/>
      <c r="AO36" s="2228"/>
      <c r="AP36" s="2228"/>
      <c r="AQ36" s="2228"/>
      <c r="AR36" s="2228"/>
      <c r="AS36" s="2228"/>
      <c r="AT36" s="2228"/>
      <c r="AU36" s="2228"/>
      <c r="AV36" s="2228"/>
      <c r="AW36" s="2228"/>
      <c r="AX36" s="2228"/>
      <c r="AY36" s="2228"/>
      <c r="AZ36" s="2228"/>
      <c r="BA36" s="253"/>
      <c r="BB36" s="253"/>
      <c r="BC36" s="199"/>
      <c r="BD36" s="295"/>
      <c r="BE36" s="295"/>
      <c r="BF36" s="295"/>
      <c r="BG36" s="295"/>
      <c r="BH36" s="295"/>
    </row>
    <row r="37" spans="1:60" s="1950" customFormat="1" ht="18.75" hidden="1" customHeight="1">
      <c r="A37" s="1249"/>
      <c r="B37" s="1249"/>
      <c r="C37" s="1249"/>
      <c r="D37" s="1249"/>
      <c r="E37" s="1249"/>
      <c r="F37" s="1249"/>
      <c r="G37" s="1249"/>
      <c r="H37" s="1249"/>
      <c r="I37" s="1249"/>
      <c r="J37" s="1249"/>
      <c r="K37" s="1249"/>
      <c r="L37" s="1250"/>
      <c r="M37" s="1249"/>
      <c r="N37" s="1249"/>
      <c r="O37" s="1249"/>
      <c r="P37" s="1249"/>
      <c r="Q37" s="1249"/>
      <c r="S37" s="2227" t="s">
        <v>1485</v>
      </c>
      <c r="T37" s="2227"/>
      <c r="U37" s="1253"/>
      <c r="V37" s="2228"/>
      <c r="W37" s="2228"/>
      <c r="X37" s="2228"/>
      <c r="Y37" s="2228"/>
      <c r="Z37" s="2228"/>
      <c r="AA37" s="2228"/>
      <c r="AB37" s="2228"/>
      <c r="AC37" s="253"/>
      <c r="AD37" s="2228" t="str">
        <f>IF(TITLE_NUMBER_PR_CHANGE="",IF(TITLE_NUMBER_PR="","",TITLE_NUMBER_PR),TITLE_NUMBER_PR_CHANGE)</f>
        <v/>
      </c>
      <c r="AE37" s="2228"/>
      <c r="AF37" s="2228"/>
      <c r="AG37" s="2228"/>
      <c r="AH37" s="2228"/>
      <c r="AI37" s="2228"/>
      <c r="AJ37" s="2228"/>
      <c r="AK37" s="2228"/>
      <c r="AL37" s="2228"/>
      <c r="AM37" s="2228"/>
      <c r="AN37" s="2228"/>
      <c r="AO37" s="2228"/>
      <c r="AP37" s="2228"/>
      <c r="AQ37" s="2228"/>
      <c r="AR37" s="2228"/>
      <c r="AS37" s="2228"/>
      <c r="AT37" s="2228"/>
      <c r="AU37" s="2228"/>
      <c r="AV37" s="2228"/>
      <c r="AW37" s="2228"/>
      <c r="AX37" s="2228"/>
      <c r="AY37" s="2228"/>
      <c r="AZ37" s="2228"/>
      <c r="BA37" s="253"/>
      <c r="BB37" s="253"/>
      <c r="BC37" s="199"/>
      <c r="BD37" s="295"/>
      <c r="BE37" s="295"/>
      <c r="BF37" s="295"/>
      <c r="BG37" s="295"/>
      <c r="BH37" s="295"/>
    </row>
    <row r="38" spans="1:60" s="1950" customFormat="1" ht="0" hidden="1" customHeight="1">
      <c r="A38" s="1249"/>
      <c r="B38" s="1249"/>
      <c r="C38" s="1249"/>
      <c r="D38" s="1249"/>
      <c r="E38" s="1249"/>
      <c r="F38" s="1249"/>
      <c r="G38" s="1249"/>
      <c r="H38" s="1249"/>
      <c r="I38" s="1249"/>
      <c r="J38" s="1249"/>
      <c r="K38" s="1249"/>
      <c r="L38" s="1250"/>
      <c r="M38" s="1249"/>
      <c r="N38" s="1249"/>
      <c r="O38" s="1249"/>
      <c r="P38" s="1249"/>
      <c r="Q38" s="1249"/>
      <c r="S38" s="250"/>
      <c r="T38" s="250"/>
      <c r="U38" s="1319"/>
      <c r="V38" s="253"/>
      <c r="W38" s="253"/>
      <c r="X38" s="253"/>
      <c r="Y38" s="253"/>
      <c r="Z38" s="253"/>
      <c r="AA38" s="253"/>
      <c r="AB38" s="253"/>
      <c r="AC38" s="197" t="s">
        <v>1488</v>
      </c>
      <c r="AD38" s="253"/>
      <c r="AE38" s="253"/>
      <c r="AF38" s="253"/>
      <c r="AG38" s="253"/>
      <c r="AH38" s="253"/>
      <c r="AI38" s="253"/>
      <c r="AJ38" s="253"/>
      <c r="AK38" s="253"/>
      <c r="AL38" s="253"/>
      <c r="AM38" s="253"/>
      <c r="AN38" s="253"/>
      <c r="AO38" s="253"/>
      <c r="AP38" s="253"/>
      <c r="AQ38" s="253"/>
      <c r="AR38" s="253"/>
      <c r="AS38" s="253"/>
      <c r="AT38" s="253"/>
      <c r="AU38" s="253"/>
      <c r="AV38" s="253"/>
      <c r="AW38" s="253"/>
      <c r="AX38" s="253"/>
      <c r="AY38" s="253"/>
      <c r="AZ38" s="253"/>
      <c r="BA38" s="197" t="s">
        <v>1488</v>
      </c>
      <c r="BD38" s="295"/>
      <c r="BE38" s="295"/>
      <c r="BF38" s="295"/>
      <c r="BG38" s="295"/>
      <c r="BH38" s="295"/>
    </row>
    <row r="39" spans="1:60" ht="14.25" customHeight="1">
      <c r="Q39" s="209"/>
      <c r="R39" s="304"/>
      <c r="S39" s="1158"/>
      <c r="T39" s="289"/>
      <c r="U39" s="1117"/>
      <c r="V39" s="2246"/>
      <c r="W39" s="2246"/>
      <c r="X39" s="2246"/>
      <c r="Y39" s="2246"/>
      <c r="Z39" s="2246"/>
      <c r="AA39" s="2246"/>
      <c r="AB39" s="2246"/>
      <c r="AC39" s="2246"/>
      <c r="AD39" s="2246"/>
      <c r="AE39" s="2246"/>
      <c r="AF39" s="2246"/>
      <c r="AG39" s="2246"/>
      <c r="AH39" s="2246"/>
      <c r="AI39" s="2246"/>
      <c r="AJ39" s="2246"/>
      <c r="AK39" s="2246"/>
      <c r="AL39" s="2246"/>
      <c r="AM39" s="2246"/>
      <c r="AN39" s="2246"/>
      <c r="AO39" s="2246"/>
      <c r="AP39" s="2246"/>
      <c r="AQ39" s="2246"/>
      <c r="AR39" s="2246"/>
      <c r="AS39" s="2246"/>
      <c r="AT39" s="2246"/>
      <c r="AU39" s="2246"/>
      <c r="AV39" s="2246"/>
      <c r="AW39" s="2246"/>
      <c r="AX39" s="2246"/>
      <c r="AY39" s="2246"/>
      <c r="AZ39" s="2246"/>
      <c r="BA39" s="2246"/>
    </row>
    <row r="40" spans="1:60" ht="14.25" customHeight="1">
      <c r="Q40" s="209"/>
      <c r="R40" s="304"/>
      <c r="S40" s="2021" t="s">
        <v>292</v>
      </c>
      <c r="T40" s="2021"/>
      <c r="U40" s="2021"/>
      <c r="V40" s="2021"/>
      <c r="W40" s="2021"/>
      <c r="X40" s="2021"/>
      <c r="Y40" s="2021"/>
      <c r="Z40" s="2021"/>
      <c r="AA40" s="2021"/>
      <c r="AB40" s="2021"/>
      <c r="AC40" s="2021"/>
      <c r="AD40" s="2021"/>
      <c r="AE40" s="2021"/>
      <c r="AF40" s="2021"/>
      <c r="AG40" s="2021"/>
      <c r="AH40" s="2021"/>
      <c r="AI40" s="2021"/>
      <c r="AJ40" s="2021"/>
      <c r="AK40" s="2021"/>
      <c r="AL40" s="2021"/>
      <c r="AM40" s="2021"/>
      <c r="AN40" s="2021"/>
      <c r="AO40" s="2021"/>
      <c r="AP40" s="2021"/>
      <c r="AQ40" s="2021"/>
      <c r="AR40" s="2021"/>
      <c r="AS40" s="2021"/>
      <c r="AT40" s="2021"/>
      <c r="AU40" s="2021"/>
      <c r="AV40" s="2021"/>
      <c r="AW40" s="2021"/>
      <c r="AX40" s="2021"/>
      <c r="AY40" s="2021"/>
      <c r="AZ40" s="2021"/>
      <c r="BA40" s="2021"/>
      <c r="BB40" s="2021"/>
      <c r="BC40" s="2021" t="s">
        <v>293</v>
      </c>
    </row>
    <row r="41" spans="1:60" ht="14.25" customHeight="1">
      <c r="Q41" s="209"/>
      <c r="R41" s="304"/>
      <c r="S41" s="2247" t="s">
        <v>88</v>
      </c>
      <c r="T41" s="2111" t="s">
        <v>1702</v>
      </c>
      <c r="U41" s="219"/>
      <c r="V41" s="2248" t="s">
        <v>1490</v>
      </c>
      <c r="W41" s="2249"/>
      <c r="X41" s="2249"/>
      <c r="Y41" s="2249"/>
      <c r="Z41" s="2249"/>
      <c r="AA41" s="2249"/>
      <c r="AB41" s="2250"/>
      <c r="AC41" s="2251" t="s">
        <v>1491</v>
      </c>
      <c r="AD41" s="2273" t="s">
        <v>1703</v>
      </c>
      <c r="AE41" s="2262"/>
      <c r="AF41" s="2262"/>
      <c r="AG41" s="2274"/>
      <c r="AH41" s="2273" t="s">
        <v>1704</v>
      </c>
      <c r="AI41" s="2262"/>
      <c r="AJ41" s="2262"/>
      <c r="AK41" s="2274"/>
      <c r="AL41" s="2273" t="s">
        <v>1705</v>
      </c>
      <c r="AM41" s="2262"/>
      <c r="AN41" s="2262"/>
      <c r="AO41" s="2274"/>
      <c r="AP41" s="2273" t="s">
        <v>1706</v>
      </c>
      <c r="AQ41" s="2262"/>
      <c r="AR41" s="2262"/>
      <c r="AS41" s="2274"/>
      <c r="AT41" s="2248" t="s">
        <v>1490</v>
      </c>
      <c r="AU41" s="2249"/>
      <c r="AV41" s="2249"/>
      <c r="AW41" s="2249"/>
      <c r="AX41" s="2249"/>
      <c r="AY41" s="2249"/>
      <c r="AZ41" s="2250"/>
      <c r="BA41" s="2251" t="s">
        <v>1491</v>
      </c>
      <c r="BB41" s="2254" t="s">
        <v>1493</v>
      </c>
      <c r="BC41" s="2021"/>
    </row>
    <row r="42" spans="1:60" ht="33.75" customHeight="1">
      <c r="Q42" s="209"/>
      <c r="R42" s="304"/>
      <c r="S42" s="2247"/>
      <c r="T42" s="2111"/>
      <c r="U42" s="924"/>
      <c r="V42" s="2081" t="s">
        <v>1707</v>
      </c>
      <c r="W42" s="2082"/>
      <c r="X42" s="2081" t="s">
        <v>1708</v>
      </c>
      <c r="Y42" s="2082"/>
      <c r="Z42" s="2081" t="s">
        <v>1709</v>
      </c>
      <c r="AA42" s="2267"/>
      <c r="AB42" s="2082"/>
      <c r="AC42" s="2252"/>
      <c r="AD42" s="2275"/>
      <c r="AE42" s="2276"/>
      <c r="AF42" s="2276"/>
      <c r="AG42" s="2277"/>
      <c r="AH42" s="2275"/>
      <c r="AI42" s="2276"/>
      <c r="AJ42" s="2276"/>
      <c r="AK42" s="2277"/>
      <c r="AL42" s="2275"/>
      <c r="AM42" s="2276"/>
      <c r="AN42" s="2276"/>
      <c r="AO42" s="2277"/>
      <c r="AP42" s="2275"/>
      <c r="AQ42" s="2276"/>
      <c r="AR42" s="2276"/>
      <c r="AS42" s="2277"/>
      <c r="AT42" s="2081" t="s">
        <v>1707</v>
      </c>
      <c r="AU42" s="2082"/>
      <c r="AV42" s="2081" t="s">
        <v>1708</v>
      </c>
      <c r="AW42" s="2082"/>
      <c r="AX42" s="2081" t="s">
        <v>1709</v>
      </c>
      <c r="AY42" s="2267"/>
      <c r="AZ42" s="2082"/>
      <c r="BA42" s="2252"/>
      <c r="BB42" s="2255"/>
      <c r="BC42" s="2021"/>
    </row>
    <row r="43" spans="1:60" ht="14.25" customHeight="1">
      <c r="Q43" s="209"/>
      <c r="R43" s="304"/>
      <c r="S43" s="2247"/>
      <c r="T43" s="2111"/>
      <c r="U43" s="924"/>
      <c r="V43" s="2086"/>
      <c r="W43" s="2087"/>
      <c r="X43" s="2086"/>
      <c r="Y43" s="2087"/>
      <c r="Z43" s="2086"/>
      <c r="AA43" s="2268"/>
      <c r="AB43" s="2087"/>
      <c r="AC43" s="2252"/>
      <c r="AD43" s="2275"/>
      <c r="AE43" s="2276"/>
      <c r="AF43" s="2276"/>
      <c r="AG43" s="2277"/>
      <c r="AH43" s="2275"/>
      <c r="AI43" s="2276"/>
      <c r="AJ43" s="2276"/>
      <c r="AK43" s="2277"/>
      <c r="AL43" s="2275"/>
      <c r="AM43" s="2276"/>
      <c r="AN43" s="2276"/>
      <c r="AO43" s="2277"/>
      <c r="AP43" s="2275"/>
      <c r="AQ43" s="2276"/>
      <c r="AR43" s="2276"/>
      <c r="AS43" s="2277"/>
      <c r="AT43" s="2086"/>
      <c r="AU43" s="2087"/>
      <c r="AV43" s="2086"/>
      <c r="AW43" s="2087"/>
      <c r="AX43" s="2086"/>
      <c r="AY43" s="2268"/>
      <c r="AZ43" s="2087"/>
      <c r="BA43" s="2252"/>
      <c r="BB43" s="2255"/>
      <c r="BC43" s="2021"/>
    </row>
    <row r="44" spans="1:60" ht="14.25" customHeight="1">
      <c r="A44" s="1251"/>
      <c r="B44" s="1251" t="s">
        <v>136</v>
      </c>
      <c r="C44" s="1251" t="s">
        <v>137</v>
      </c>
      <c r="D44" s="1251" t="s">
        <v>138</v>
      </c>
      <c r="E44" s="1245" t="s">
        <v>1498</v>
      </c>
      <c r="F44" s="1245" t="s">
        <v>1499</v>
      </c>
      <c r="G44" s="1245" t="s">
        <v>1500</v>
      </c>
      <c r="H44" s="1245" t="s">
        <v>1501</v>
      </c>
      <c r="I44" s="1245" t="s">
        <v>1502</v>
      </c>
      <c r="J44" s="1245" t="s">
        <v>1503</v>
      </c>
      <c r="K44" s="1245" t="s">
        <v>1504</v>
      </c>
      <c r="L44" s="1245" t="s">
        <v>1479</v>
      </c>
      <c r="Q44" s="209"/>
      <c r="R44" s="304"/>
      <c r="S44" s="2247"/>
      <c r="T44" s="2111"/>
      <c r="U44" s="220"/>
      <c r="V44" s="1313" t="s">
        <v>1550</v>
      </c>
      <c r="W44" s="1313" t="s">
        <v>1551</v>
      </c>
      <c r="X44" s="1313" t="s">
        <v>1550</v>
      </c>
      <c r="Y44" s="1313" t="s">
        <v>1551</v>
      </c>
      <c r="Z44" s="1320" t="s">
        <v>1507</v>
      </c>
      <c r="AA44" s="2117" t="s">
        <v>1508</v>
      </c>
      <c r="AB44" s="2131"/>
      <c r="AC44" s="2253"/>
      <c r="AD44" s="2278"/>
      <c r="AE44" s="2279"/>
      <c r="AF44" s="2279"/>
      <c r="AG44" s="2280"/>
      <c r="AH44" s="2278"/>
      <c r="AI44" s="2279"/>
      <c r="AJ44" s="2279"/>
      <c r="AK44" s="2280"/>
      <c r="AL44" s="2278"/>
      <c r="AM44" s="2279"/>
      <c r="AN44" s="2279"/>
      <c r="AO44" s="2280"/>
      <c r="AP44" s="2278"/>
      <c r="AQ44" s="2279"/>
      <c r="AR44" s="2279"/>
      <c r="AS44" s="2280"/>
      <c r="AT44" s="1313" t="s">
        <v>1550</v>
      </c>
      <c r="AU44" s="1313" t="s">
        <v>1551</v>
      </c>
      <c r="AV44" s="1313" t="s">
        <v>1550</v>
      </c>
      <c r="AW44" s="1313" t="s">
        <v>1551</v>
      </c>
      <c r="AX44" s="1320" t="s">
        <v>1507</v>
      </c>
      <c r="AY44" s="2117" t="s">
        <v>1508</v>
      </c>
      <c r="AZ44" s="2131"/>
      <c r="BA44" s="2253"/>
      <c r="BB44" s="2256"/>
      <c r="BC44" s="2021"/>
    </row>
    <row r="45" spans="1:60" s="1720" customFormat="1" ht="11.25" hidden="1" customHeight="1">
      <c r="A45" s="1251"/>
      <c r="B45" s="1251"/>
      <c r="C45" s="1251"/>
      <c r="D45" s="1251"/>
      <c r="E45" s="1251"/>
      <c r="F45" s="1251"/>
      <c r="G45" s="1251"/>
      <c r="H45" s="1251"/>
      <c r="I45" s="1251"/>
      <c r="J45" s="1251"/>
      <c r="K45" s="1251"/>
      <c r="L45" s="1245"/>
      <c r="M45" s="1243"/>
      <c r="N45" s="1243"/>
      <c r="O45" s="1243"/>
      <c r="P45" s="438"/>
      <c r="Q45" s="1135"/>
      <c r="R45" s="1135">
        <v>1</v>
      </c>
      <c r="S45" s="1160" t="s">
        <v>109</v>
      </c>
      <c r="T45" s="1136" t="s">
        <v>110</v>
      </c>
      <c r="U45" s="1118" t="str">
        <f ca="1">OFFSET(U45,0,-1)</f>
        <v>2</v>
      </c>
      <c r="V45" s="1316">
        <f t="shared" ref="V45:AA45" ca="1" si="2">OFFSET(V45,0,-1)+1</f>
        <v>3</v>
      </c>
      <c r="W45" s="1316">
        <f t="shared" ca="1" si="2"/>
        <v>4</v>
      </c>
      <c r="X45" s="1316">
        <f t="shared" ca="1" si="2"/>
        <v>5</v>
      </c>
      <c r="Y45" s="1316">
        <f t="shared" ca="1" si="2"/>
        <v>6</v>
      </c>
      <c r="Z45" s="1316">
        <f t="shared" ca="1" si="2"/>
        <v>7</v>
      </c>
      <c r="AA45" s="2245">
        <f t="shared" ca="1" si="2"/>
        <v>8</v>
      </c>
      <c r="AB45" s="2245"/>
      <c r="AC45" s="1316">
        <f ca="1">OFFSET(AC45,0,-2)+1</f>
        <v>9</v>
      </c>
      <c r="AD45" s="1316">
        <f ca="1">OFFSET(AD45,0,-1)+1</f>
        <v>10</v>
      </c>
      <c r="AE45" s="1316"/>
      <c r="AF45" s="1316"/>
      <c r="AG45" s="1316"/>
      <c r="AH45" s="1316"/>
      <c r="AI45" s="1316"/>
      <c r="AJ45" s="1316"/>
      <c r="AK45" s="1316"/>
      <c r="AL45" s="1316"/>
      <c r="AM45" s="1316"/>
      <c r="AN45" s="1316"/>
      <c r="AO45" s="1316"/>
      <c r="AP45" s="1316"/>
      <c r="AQ45" s="1316"/>
      <c r="AR45" s="1316"/>
      <c r="AS45" s="1316"/>
      <c r="AT45" s="1316"/>
      <c r="AU45" s="1316"/>
      <c r="AV45" s="1316"/>
      <c r="AW45" s="1316">
        <f ca="1">OFFSET(AW45,0,-1)+1</f>
        <v>1</v>
      </c>
      <c r="AX45" s="1316">
        <f ca="1">OFFSET(AX45,0,-1)+1</f>
        <v>2</v>
      </c>
      <c r="AY45" s="2245">
        <f ca="1">OFFSET(AY45,0,-1)+1</f>
        <v>3</v>
      </c>
      <c r="AZ45" s="2245"/>
      <c r="BA45" s="1316">
        <f ca="1">OFFSET(BA45,0,-2)+1</f>
        <v>4</v>
      </c>
      <c r="BB45" s="1118">
        <f ca="1">OFFSET(BB45,0,-1)</f>
        <v>4</v>
      </c>
      <c r="BC45" s="1316">
        <f ca="1">OFFSET(BC45,0,-1)+1</f>
        <v>5</v>
      </c>
      <c r="BD45" s="439"/>
      <c r="BE45" s="439"/>
      <c r="BF45" s="439"/>
      <c r="BG45" s="439"/>
      <c r="BH45" s="439"/>
    </row>
    <row r="46" spans="1:60" ht="21" customHeight="1">
      <c r="A46" s="1244" t="s">
        <v>238</v>
      </c>
      <c r="B46" s="1244"/>
      <c r="C46" s="1244"/>
      <c r="D46" s="1244"/>
      <c r="E46" s="2235">
        <v>1</v>
      </c>
      <c r="F46" s="1244"/>
      <c r="G46" s="1244"/>
      <c r="H46" s="1244"/>
      <c r="I46" s="1244"/>
      <c r="J46" s="1244"/>
      <c r="K46" s="1244"/>
      <c r="L46" s="1245"/>
      <c r="M46" s="1246"/>
      <c r="N46" s="1246"/>
      <c r="O46" s="1246"/>
      <c r="P46" s="1279"/>
      <c r="Q46" s="771"/>
      <c r="R46" s="279"/>
      <c r="S46" s="1322">
        <f>INDEX(PT_DIFFERENTIATION_NUM_NTAR,MATCH(A46,PT_DIFFERENTIATION_NTAR_ID,0))</f>
        <v>0</v>
      </c>
      <c r="T46" s="216" t="s">
        <v>124</v>
      </c>
      <c r="U46" s="218"/>
      <c r="V46" s="2230"/>
      <c r="W46" s="2230"/>
      <c r="X46" s="2230"/>
      <c r="Y46" s="2230"/>
      <c r="Z46" s="2230"/>
      <c r="AA46" s="2230"/>
      <c r="AB46" s="2230"/>
      <c r="AC46" s="2231"/>
      <c r="AD46" s="2229" t="str">
        <f>INDEX(PT_DIFFERENTIATION_NTAR,MATCH(A46,PT_DIFFERENTIATION_NTAR_ID,0))</f>
        <v/>
      </c>
      <c r="AE46" s="2230"/>
      <c r="AF46" s="2230"/>
      <c r="AG46" s="2230"/>
      <c r="AH46" s="2230"/>
      <c r="AI46" s="2230"/>
      <c r="AJ46" s="2230"/>
      <c r="AK46" s="2230"/>
      <c r="AL46" s="2230"/>
      <c r="AM46" s="2230"/>
      <c r="AN46" s="2230"/>
      <c r="AO46" s="2230"/>
      <c r="AP46" s="2230"/>
      <c r="AQ46" s="2230"/>
      <c r="AR46" s="2230"/>
      <c r="AS46" s="2230"/>
      <c r="AT46" s="2230"/>
      <c r="AU46" s="2230"/>
      <c r="AV46" s="2230"/>
      <c r="AW46" s="2230"/>
      <c r="AX46" s="2230"/>
      <c r="AY46" s="2230"/>
      <c r="AZ46" s="2230"/>
      <c r="BA46" s="2230"/>
      <c r="BB46" s="2231"/>
      <c r="BC46" s="114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28"/>
      <c r="BF46" s="428" t="str">
        <f t="shared" ref="BF46:BF52" si="3">IF(T46="","",T46)</f>
        <v>Наименование тарифа</v>
      </c>
      <c r="BG46" s="428"/>
      <c r="BH46" s="428"/>
    </row>
    <row r="47" spans="1:60" ht="21" customHeight="1">
      <c r="A47" s="1244" t="s">
        <v>238</v>
      </c>
      <c r="B47" s="1244" t="s">
        <v>239</v>
      </c>
      <c r="C47" s="1244"/>
      <c r="D47" s="1244"/>
      <c r="E47" s="2236"/>
      <c r="F47" s="2235">
        <v>1</v>
      </c>
      <c r="G47" s="1244"/>
      <c r="H47" s="1244"/>
      <c r="I47" s="1244"/>
      <c r="J47" s="1244"/>
      <c r="K47" s="1244"/>
      <c r="L47" s="1245"/>
      <c r="M47" s="1246"/>
      <c r="N47" s="1246"/>
      <c r="O47" s="1246"/>
      <c r="P47" s="1280"/>
      <c r="Q47" s="1281"/>
      <c r="R47" s="277"/>
      <c r="S47" s="1322" t="str">
        <f>INDEX(PT_DIFFERENTIATION_NUM_TER,MATCH(B47,PT_DIFFERENTIATION_TER_ID,0))</f>
        <v>.</v>
      </c>
      <c r="T47" s="228" t="s">
        <v>1461</v>
      </c>
      <c r="U47" s="218"/>
      <c r="V47" s="2230"/>
      <c r="W47" s="2230"/>
      <c r="X47" s="2230"/>
      <c r="Y47" s="2230"/>
      <c r="Z47" s="2230"/>
      <c r="AA47" s="2230"/>
      <c r="AB47" s="2230"/>
      <c r="AC47" s="2231"/>
      <c r="AD47" s="2229" t="str">
        <f>INDEX(PT_DIFFERENTIATION_TER,MATCH(B47,PT_DIFFERENTIATION_TER_ID,0))</f>
        <v/>
      </c>
      <c r="AE47" s="2230"/>
      <c r="AF47" s="2230"/>
      <c r="AG47" s="2230"/>
      <c r="AH47" s="2230"/>
      <c r="AI47" s="2230"/>
      <c r="AJ47" s="2230"/>
      <c r="AK47" s="2230"/>
      <c r="AL47" s="2230"/>
      <c r="AM47" s="2230"/>
      <c r="AN47" s="2230"/>
      <c r="AO47" s="2230"/>
      <c r="AP47" s="2230"/>
      <c r="AQ47" s="2230"/>
      <c r="AR47" s="2230"/>
      <c r="AS47" s="2230"/>
      <c r="AT47" s="2230"/>
      <c r="AU47" s="2230"/>
      <c r="AV47" s="2230"/>
      <c r="AW47" s="2230"/>
      <c r="AX47" s="2230"/>
      <c r="AY47" s="2230"/>
      <c r="AZ47" s="2230"/>
      <c r="BA47" s="2230"/>
      <c r="BB47" s="2231"/>
      <c r="BC47" s="1140" t="s">
        <v>1462</v>
      </c>
      <c r="BE47" s="428"/>
      <c r="BF47" s="428" t="str">
        <f t="shared" si="3"/>
        <v>Территория действия тарифа</v>
      </c>
      <c r="BG47" s="428"/>
      <c r="BH47" s="428"/>
    </row>
    <row r="48" spans="1:60" ht="42" customHeight="1">
      <c r="A48" s="1244" t="s">
        <v>238</v>
      </c>
      <c r="B48" s="1244" t="s">
        <v>239</v>
      </c>
      <c r="C48" s="1244" t="s">
        <v>240</v>
      </c>
      <c r="D48" s="1244"/>
      <c r="E48" s="2236"/>
      <c r="F48" s="2236"/>
      <c r="G48" s="2235">
        <v>1</v>
      </c>
      <c r="H48" s="1244"/>
      <c r="I48" s="1244"/>
      <c r="J48" s="1244"/>
      <c r="K48" s="1244"/>
      <c r="L48" s="1245"/>
      <c r="M48" s="1246"/>
      <c r="N48" s="1246"/>
      <c r="O48" s="1246"/>
      <c r="P48" s="1282"/>
      <c r="Q48" s="1281"/>
      <c r="R48" s="277"/>
      <c r="S48" s="1322" t="str">
        <f>INDEX(PT_DIFFERENTIATION_NUM_CS,MATCH(C48,PT_DIFFERENTIATION_CS_ID,0))</f>
        <v>..</v>
      </c>
      <c r="T48" s="229" t="s">
        <v>1676</v>
      </c>
      <c r="U48" s="218"/>
      <c r="V48" s="2230"/>
      <c r="W48" s="2230"/>
      <c r="X48" s="2230"/>
      <c r="Y48" s="2230"/>
      <c r="Z48" s="2230"/>
      <c r="AA48" s="2230"/>
      <c r="AB48" s="2230"/>
      <c r="AC48" s="2231"/>
      <c r="AD48" s="2229" t="str">
        <f>INDEX(PT_DIFFERENTIATION_CS,MATCH(C48,PT_DIFFERENTIATION_CS_ID,0))</f>
        <v/>
      </c>
      <c r="AE48" s="2230"/>
      <c r="AF48" s="2230"/>
      <c r="AG48" s="2230"/>
      <c r="AH48" s="2230"/>
      <c r="AI48" s="2230"/>
      <c r="AJ48" s="2230"/>
      <c r="AK48" s="2230"/>
      <c r="AL48" s="2230"/>
      <c r="AM48" s="2230"/>
      <c r="AN48" s="2230"/>
      <c r="AO48" s="2230"/>
      <c r="AP48" s="2230"/>
      <c r="AQ48" s="2230"/>
      <c r="AR48" s="2230"/>
      <c r="AS48" s="2230"/>
      <c r="AT48" s="2230"/>
      <c r="AU48" s="2230"/>
      <c r="AV48" s="2230"/>
      <c r="AW48" s="2230"/>
      <c r="AX48" s="2230"/>
      <c r="AY48" s="2230"/>
      <c r="AZ48" s="2230"/>
      <c r="BA48" s="2230"/>
      <c r="BB48" s="2231"/>
      <c r="BC48" s="1140" t="s">
        <v>1677</v>
      </c>
      <c r="BE48" s="428"/>
      <c r="BF48" s="428" t="str">
        <f t="shared" si="3"/>
        <v>Наименование централизованной системы холодного водоснабжения</v>
      </c>
      <c r="BG48" s="428"/>
      <c r="BH48" s="428"/>
    </row>
    <row r="49" spans="1:60" s="1772" customFormat="1" ht="0" hidden="1" customHeight="1">
      <c r="A49" s="1228" t="s">
        <v>238</v>
      </c>
      <c r="B49" s="1228" t="s">
        <v>239</v>
      </c>
      <c r="C49" s="1228" t="s">
        <v>240</v>
      </c>
      <c r="D49" s="1228" t="s">
        <v>1710</v>
      </c>
      <c r="E49" s="2236"/>
      <c r="F49" s="2236"/>
      <c r="G49" s="2236"/>
      <c r="H49" s="2235">
        <v>1</v>
      </c>
      <c r="I49" s="1228"/>
      <c r="J49" s="1228"/>
      <c r="K49" s="1228"/>
      <c r="L49" s="1231"/>
      <c r="M49" s="1201"/>
      <c r="N49" s="1201"/>
      <c r="O49" s="1201"/>
      <c r="P49" s="1358"/>
      <c r="Q49" s="1359"/>
      <c r="R49" s="281"/>
      <c r="S49" s="932"/>
      <c r="T49" s="1360"/>
      <c r="U49" s="1264"/>
      <c r="V49" s="2264"/>
      <c r="W49" s="2264"/>
      <c r="X49" s="2264"/>
      <c r="Y49" s="2264"/>
      <c r="Z49" s="2264"/>
      <c r="AA49" s="2264"/>
      <c r="AB49" s="2264"/>
      <c r="AC49" s="2265"/>
      <c r="AD49" s="2263"/>
      <c r="AE49" s="2264"/>
      <c r="AF49" s="2264"/>
      <c r="AG49" s="2264"/>
      <c r="AH49" s="2264"/>
      <c r="AI49" s="2264"/>
      <c r="AJ49" s="2264"/>
      <c r="AK49" s="2264"/>
      <c r="AL49" s="2264"/>
      <c r="AM49" s="2264"/>
      <c r="AN49" s="2264"/>
      <c r="AO49" s="2264"/>
      <c r="AP49" s="2264"/>
      <c r="AQ49" s="2264"/>
      <c r="AR49" s="2264"/>
      <c r="AS49" s="2264"/>
      <c r="AT49" s="2264"/>
      <c r="AU49" s="2264"/>
      <c r="AV49" s="2264"/>
      <c r="AW49" s="2264"/>
      <c r="AX49" s="2264"/>
      <c r="AY49" s="2264"/>
      <c r="AZ49" s="2264"/>
      <c r="BA49" s="2264"/>
      <c r="BB49" s="2265"/>
      <c r="BC49" s="1265" t="s">
        <v>1466</v>
      </c>
      <c r="BE49" s="428"/>
      <c r="BF49" s="428" t="str">
        <f t="shared" si="3"/>
        <v/>
      </c>
      <c r="BG49" s="428"/>
      <c r="BH49" s="428"/>
    </row>
    <row r="50" spans="1:60" s="1772" customFormat="1" ht="0" hidden="1" customHeight="1">
      <c r="A50" s="1228" t="s">
        <v>238</v>
      </c>
      <c r="B50" s="1228" t="s">
        <v>239</v>
      </c>
      <c r="C50" s="1228" t="s">
        <v>240</v>
      </c>
      <c r="D50" s="1228" t="s">
        <v>1710</v>
      </c>
      <c r="E50" s="2236"/>
      <c r="F50" s="2236"/>
      <c r="G50" s="2236"/>
      <c r="H50" s="2236"/>
      <c r="I50" s="2237" t="str">
        <f>S49&amp;".1"</f>
        <v>.1</v>
      </c>
      <c r="J50" s="1228"/>
      <c r="K50" s="1228"/>
      <c r="L50" s="1231" t="s">
        <v>1467</v>
      </c>
      <c r="M50" s="438"/>
      <c r="N50" s="438"/>
      <c r="O50" s="438"/>
      <c r="P50" s="2157">
        <v>1</v>
      </c>
      <c r="Q50" s="1326"/>
      <c r="R50" s="280"/>
      <c r="S50" s="932"/>
      <c r="T50" s="1263"/>
      <c r="U50" s="1264"/>
      <c r="V50" s="2264"/>
      <c r="W50" s="2264"/>
      <c r="X50" s="2264"/>
      <c r="Y50" s="2264"/>
      <c r="Z50" s="2264"/>
      <c r="AA50" s="2264"/>
      <c r="AB50" s="2264"/>
      <c r="AC50" s="2265"/>
      <c r="AD50" s="2263"/>
      <c r="AE50" s="2264"/>
      <c r="AF50" s="2264"/>
      <c r="AG50" s="2264"/>
      <c r="AH50" s="2264"/>
      <c r="AI50" s="2264"/>
      <c r="AJ50" s="2264"/>
      <c r="AK50" s="2264"/>
      <c r="AL50" s="2264"/>
      <c r="AM50" s="2264"/>
      <c r="AN50" s="2264"/>
      <c r="AO50" s="2264"/>
      <c r="AP50" s="2264"/>
      <c r="AQ50" s="2264"/>
      <c r="AR50" s="2264"/>
      <c r="AS50" s="2264"/>
      <c r="AT50" s="2264"/>
      <c r="AU50" s="2264"/>
      <c r="AV50" s="2264"/>
      <c r="AW50" s="2264"/>
      <c r="AX50" s="2264"/>
      <c r="AY50" s="2264"/>
      <c r="AZ50" s="2264"/>
      <c r="BA50" s="2264"/>
      <c r="BB50" s="2265"/>
      <c r="BC50" s="1265"/>
      <c r="BE50" s="428"/>
      <c r="BF50" s="428" t="str">
        <f t="shared" si="3"/>
        <v/>
      </c>
      <c r="BG50" s="428"/>
      <c r="BH50" s="428"/>
    </row>
    <row r="51" spans="1:60" s="1772" customFormat="1" ht="0" hidden="1" customHeight="1">
      <c r="A51" s="1228" t="s">
        <v>238</v>
      </c>
      <c r="B51" s="1228" t="s">
        <v>239</v>
      </c>
      <c r="C51" s="1228" t="s">
        <v>240</v>
      </c>
      <c r="D51" s="1228" t="s">
        <v>1710</v>
      </c>
      <c r="E51" s="2236"/>
      <c r="F51" s="2236"/>
      <c r="G51" s="2236"/>
      <c r="H51" s="2236"/>
      <c r="I51" s="2238"/>
      <c r="J51" s="2237" t="str">
        <f>S49&amp;".1"</f>
        <v>.1</v>
      </c>
      <c r="K51" s="1228"/>
      <c r="L51" s="1231"/>
      <c r="M51" s="438"/>
      <c r="N51" s="438"/>
      <c r="O51" s="438"/>
      <c r="P51" s="2157"/>
      <c r="Q51" s="2157">
        <v>1</v>
      </c>
      <c r="R51" s="281"/>
      <c r="S51" s="932"/>
      <c r="T51" s="1273"/>
      <c r="U51" s="1264"/>
      <c r="V51" s="2264"/>
      <c r="W51" s="2264"/>
      <c r="X51" s="2264"/>
      <c r="Y51" s="2264"/>
      <c r="Z51" s="2264"/>
      <c r="AA51" s="2264"/>
      <c r="AB51" s="2264"/>
      <c r="AC51" s="2265"/>
      <c r="AD51" s="2263"/>
      <c r="AE51" s="2264"/>
      <c r="AF51" s="2264"/>
      <c r="AG51" s="2264"/>
      <c r="AH51" s="2264"/>
      <c r="AI51" s="2264"/>
      <c r="AJ51" s="2264"/>
      <c r="AK51" s="2264"/>
      <c r="AL51" s="2264"/>
      <c r="AM51" s="2264"/>
      <c r="AN51" s="2342"/>
      <c r="AO51" s="2342"/>
      <c r="AP51" s="2264"/>
      <c r="AQ51" s="2264"/>
      <c r="AR51" s="2264"/>
      <c r="AS51" s="2264"/>
      <c r="AT51" s="2264"/>
      <c r="AU51" s="2264"/>
      <c r="AV51" s="2264"/>
      <c r="AW51" s="2264"/>
      <c r="AX51" s="2264"/>
      <c r="AY51" s="2264"/>
      <c r="AZ51" s="2264"/>
      <c r="BA51" s="2264"/>
      <c r="BB51" s="2265"/>
      <c r="BC51" s="1265"/>
      <c r="BE51" s="428"/>
      <c r="BF51" s="428" t="str">
        <f t="shared" si="3"/>
        <v/>
      </c>
      <c r="BG51" s="428"/>
      <c r="BH51" s="428"/>
    </row>
    <row r="52" spans="1:60" ht="11.25" customHeight="1">
      <c r="A52" s="1244" t="s">
        <v>238</v>
      </c>
      <c r="B52" s="1244" t="s">
        <v>239</v>
      </c>
      <c r="C52" s="1244" t="s">
        <v>240</v>
      </c>
      <c r="D52" s="1244" t="s">
        <v>1710</v>
      </c>
      <c r="E52" s="2236"/>
      <c r="F52" s="2236"/>
      <c r="G52" s="2236"/>
      <c r="H52" s="2236"/>
      <c r="I52" s="2238"/>
      <c r="J52" s="2238"/>
      <c r="K52" s="2237" t="str">
        <f>S48&amp;".1"</f>
        <v>...1</v>
      </c>
      <c r="L52" s="1245"/>
      <c r="P52" s="2157"/>
      <c r="Q52" s="2157"/>
      <c r="R52" s="281">
        <v>1</v>
      </c>
      <c r="S52" s="2286" t="str">
        <f>$K52</f>
        <v>...1</v>
      </c>
      <c r="T52" s="2336"/>
      <c r="U52" s="218"/>
      <c r="V52" s="1667"/>
      <c r="W52" s="1669"/>
      <c r="X52" s="1667"/>
      <c r="Y52" s="1669"/>
      <c r="Z52" s="1593"/>
      <c r="AA52" s="1324" t="s">
        <v>66</v>
      </c>
      <c r="AB52" s="1593"/>
      <c r="AC52" s="1324" t="s">
        <v>66</v>
      </c>
      <c r="AD52" s="2093" t="s">
        <v>66</v>
      </c>
      <c r="AE52" s="2282"/>
      <c r="AF52" s="2281">
        <v>1</v>
      </c>
      <c r="AG52" s="2335"/>
      <c r="AH52" s="2031" t="s">
        <v>66</v>
      </c>
      <c r="AI52" s="2282"/>
      <c r="AJ52" s="2281">
        <v>1</v>
      </c>
      <c r="AK52" s="2334" t="s">
        <v>17</v>
      </c>
      <c r="AL52" s="2031" t="s">
        <v>66</v>
      </c>
      <c r="AM52" s="2081"/>
      <c r="AN52" s="2281">
        <v>1</v>
      </c>
      <c r="AO52" s="2339"/>
      <c r="AP52" s="2340" t="s">
        <v>66</v>
      </c>
      <c r="AQ52" s="231"/>
      <c r="AR52" s="1327">
        <v>1</v>
      </c>
      <c r="AS52" s="1330" t="s">
        <v>17</v>
      </c>
      <c r="AT52" s="1667"/>
      <c r="AU52" s="1669"/>
      <c r="AV52" s="1667"/>
      <c r="AW52" s="1669"/>
      <c r="AX52" s="1593"/>
      <c r="AY52" s="1324" t="s">
        <v>66</v>
      </c>
      <c r="AZ52" s="1593"/>
      <c r="BA52" s="1324" t="s">
        <v>66</v>
      </c>
      <c r="BB52" s="1675"/>
      <c r="BC52" s="2257" t="s">
        <v>1696</v>
      </c>
      <c r="BE52" s="428"/>
      <c r="BF52" s="428" t="str">
        <f t="shared" si="3"/>
        <v/>
      </c>
      <c r="BG52" s="428"/>
      <c r="BH52" s="428"/>
    </row>
    <row r="53" spans="1:60" ht="11.25" customHeight="1">
      <c r="A53" s="1244"/>
      <c r="B53" s="1244"/>
      <c r="C53" s="1244"/>
      <c r="D53" s="1244"/>
      <c r="E53" s="2236"/>
      <c r="F53" s="2236"/>
      <c r="G53" s="2236"/>
      <c r="H53" s="2236"/>
      <c r="I53" s="2238"/>
      <c r="J53" s="2238"/>
      <c r="K53" s="2237"/>
      <c r="L53" s="1245"/>
      <c r="P53" s="2157"/>
      <c r="Q53" s="2157"/>
      <c r="R53" s="281"/>
      <c r="S53" s="2287"/>
      <c r="T53" s="2337"/>
      <c r="U53" s="218"/>
      <c r="V53" s="1683"/>
      <c r="W53" s="1689"/>
      <c r="X53" s="1683"/>
      <c r="Y53" s="1689"/>
      <c r="Z53" s="1683"/>
      <c r="AA53" s="1683"/>
      <c r="AB53" s="1683"/>
      <c r="AC53" s="1683"/>
      <c r="AD53" s="2094"/>
      <c r="AE53" s="2282"/>
      <c r="AF53" s="2281"/>
      <c r="AG53" s="2335"/>
      <c r="AH53" s="2031"/>
      <c r="AI53" s="2282"/>
      <c r="AJ53" s="2281"/>
      <c r="AK53" s="2334"/>
      <c r="AL53" s="2031"/>
      <c r="AM53" s="2086"/>
      <c r="AN53" s="2281"/>
      <c r="AO53" s="2339"/>
      <c r="AP53" s="2341"/>
      <c r="AQ53" s="238"/>
      <c r="AR53" s="351"/>
      <c r="AS53" s="351" t="s">
        <v>1697</v>
      </c>
      <c r="AT53" s="1683"/>
      <c r="AU53" s="1689"/>
      <c r="AV53" s="1683"/>
      <c r="AW53" s="1689"/>
      <c r="AX53" s="1683"/>
      <c r="AY53" s="1683"/>
      <c r="AZ53" s="1683"/>
      <c r="BA53" s="1683"/>
      <c r="BB53" s="1688"/>
      <c r="BC53" s="2258"/>
      <c r="BE53" s="428"/>
      <c r="BF53" s="428"/>
      <c r="BG53" s="428"/>
      <c r="BH53" s="428"/>
    </row>
    <row r="54" spans="1:60" ht="11.25" customHeight="1">
      <c r="A54" s="1244" t="s">
        <v>238</v>
      </c>
      <c r="B54" s="1244"/>
      <c r="C54" s="1244"/>
      <c r="D54" s="1244"/>
      <c r="E54" s="2236"/>
      <c r="F54" s="2236"/>
      <c r="G54" s="2236"/>
      <c r="H54" s="2236"/>
      <c r="I54" s="2238"/>
      <c r="J54" s="2238"/>
      <c r="K54" s="2237"/>
      <c r="L54" s="1245"/>
      <c r="P54" s="2157"/>
      <c r="Q54" s="2157"/>
      <c r="R54" s="281"/>
      <c r="S54" s="2287"/>
      <c r="T54" s="2337"/>
      <c r="U54" s="218"/>
      <c r="V54" s="1683"/>
      <c r="W54" s="1689"/>
      <c r="X54" s="1683"/>
      <c r="Y54" s="1689"/>
      <c r="Z54" s="1683"/>
      <c r="AA54" s="1683"/>
      <c r="AB54" s="1683"/>
      <c r="AC54" s="1683"/>
      <c r="AD54" s="2094"/>
      <c r="AE54" s="2282"/>
      <c r="AF54" s="2281"/>
      <c r="AG54" s="2335"/>
      <c r="AH54" s="2031"/>
      <c r="AI54" s="2282"/>
      <c r="AJ54" s="2281"/>
      <c r="AK54" s="2334"/>
      <c r="AL54" s="2031"/>
      <c r="AM54" s="238"/>
      <c r="AN54" s="1361"/>
      <c r="AO54" s="1361" t="s">
        <v>1698</v>
      </c>
      <c r="AP54" s="351"/>
      <c r="AQ54" s="351"/>
      <c r="AR54" s="351"/>
      <c r="AS54" s="1683"/>
      <c r="AT54" s="1683"/>
      <c r="AU54" s="1689"/>
      <c r="AV54" s="1683"/>
      <c r="AW54" s="1689"/>
      <c r="AX54" s="1683"/>
      <c r="AY54" s="1683"/>
      <c r="AZ54" s="1683"/>
      <c r="BA54" s="1683"/>
      <c r="BB54" s="1688"/>
      <c r="BC54" s="2258"/>
      <c r="BE54" s="428"/>
      <c r="BF54" s="428"/>
      <c r="BG54" s="428"/>
      <c r="BH54" s="428"/>
    </row>
    <row r="55" spans="1:60" ht="11.25" customHeight="1">
      <c r="A55" s="1244" t="s">
        <v>238</v>
      </c>
      <c r="B55" s="1244"/>
      <c r="C55" s="1244"/>
      <c r="D55" s="1244"/>
      <c r="E55" s="2236"/>
      <c r="F55" s="2236"/>
      <c r="G55" s="2236"/>
      <c r="H55" s="2236"/>
      <c r="I55" s="2238"/>
      <c r="J55" s="2238"/>
      <c r="K55" s="2237"/>
      <c r="L55" s="1245"/>
      <c r="P55" s="2157"/>
      <c r="Q55" s="2157"/>
      <c r="R55" s="281"/>
      <c r="S55" s="2287"/>
      <c r="T55" s="2337"/>
      <c r="U55" s="218"/>
      <c r="V55" s="1683"/>
      <c r="W55" s="1689"/>
      <c r="X55" s="1683"/>
      <c r="Y55" s="1689"/>
      <c r="Z55" s="1683"/>
      <c r="AA55" s="1683"/>
      <c r="AB55" s="1683"/>
      <c r="AC55" s="1683"/>
      <c r="AD55" s="2094"/>
      <c r="AE55" s="2282"/>
      <c r="AF55" s="2281"/>
      <c r="AG55" s="2335"/>
      <c r="AH55" s="2031"/>
      <c r="AI55" s="212"/>
      <c r="AJ55" s="350"/>
      <c r="AK55" s="233" t="s">
        <v>1699</v>
      </c>
      <c r="AL55" s="1683"/>
      <c r="AM55" s="1683"/>
      <c r="AN55" s="1683"/>
      <c r="AO55" s="1683"/>
      <c r="AP55" s="1683"/>
      <c r="AQ55" s="1683"/>
      <c r="AR55" s="1683"/>
      <c r="AS55" s="1683"/>
      <c r="AT55" s="1683"/>
      <c r="AU55" s="1689"/>
      <c r="AV55" s="1683"/>
      <c r="AW55" s="1689"/>
      <c r="AX55" s="1683"/>
      <c r="AY55" s="1683"/>
      <c r="AZ55" s="1683"/>
      <c r="BA55" s="1683"/>
      <c r="BB55" s="1688"/>
      <c r="BC55" s="2258"/>
      <c r="BE55" s="428"/>
      <c r="BF55" s="428"/>
      <c r="BG55" s="428"/>
      <c r="BH55" s="428"/>
    </row>
    <row r="56" spans="1:60" ht="11.25" customHeight="1">
      <c r="A56" s="1244" t="s">
        <v>238</v>
      </c>
      <c r="B56" s="1244" t="s">
        <v>239</v>
      </c>
      <c r="C56" s="1244" t="s">
        <v>240</v>
      </c>
      <c r="D56" s="1244" t="s">
        <v>1710</v>
      </c>
      <c r="E56" s="2236"/>
      <c r="F56" s="2236"/>
      <c r="G56" s="2236"/>
      <c r="H56" s="2236"/>
      <c r="I56" s="2238"/>
      <c r="J56" s="2238"/>
      <c r="K56" s="2237"/>
      <c r="L56" s="1245"/>
      <c r="P56" s="2157"/>
      <c r="Q56" s="2157"/>
      <c r="R56" s="281"/>
      <c r="S56" s="2288"/>
      <c r="T56" s="2338"/>
      <c r="U56" s="218"/>
      <c r="V56" s="1683"/>
      <c r="W56" s="1684" t="str">
        <f>Z52&amp;"-"&amp;AB52</f>
        <v>-</v>
      </c>
      <c r="X56" s="1683"/>
      <c r="Y56" s="1684" t="str">
        <f>AB52&amp;"-"&amp;AD52</f>
        <v>-да</v>
      </c>
      <c r="Z56" s="1683"/>
      <c r="AA56" s="1683"/>
      <c r="AB56" s="1683"/>
      <c r="AC56" s="1683"/>
      <c r="AD56" s="2036"/>
      <c r="AE56" s="232"/>
      <c r="AF56" s="234"/>
      <c r="AG56" s="351" t="s">
        <v>1700</v>
      </c>
      <c r="AH56" s="1683"/>
      <c r="AI56" s="1683"/>
      <c r="AJ56" s="1683"/>
      <c r="AK56" s="1683"/>
      <c r="AL56" s="1683"/>
      <c r="AM56" s="1683"/>
      <c r="AN56" s="1683"/>
      <c r="AO56" s="1683"/>
      <c r="AP56" s="1683"/>
      <c r="AQ56" s="1683"/>
      <c r="AR56" s="1683"/>
      <c r="AS56" s="1683"/>
      <c r="AT56" s="1683"/>
      <c r="AU56" s="1684" t="str">
        <f>AX52&amp;"-"&amp;AZ52</f>
        <v>-</v>
      </c>
      <c r="AV56" s="1683"/>
      <c r="AW56" s="1684" t="str">
        <f>AZ52&amp;"-"&amp;BB52</f>
        <v>-</v>
      </c>
      <c r="AX56" s="1683"/>
      <c r="AY56" s="1683"/>
      <c r="AZ56" s="1683"/>
      <c r="BA56" s="1683"/>
      <c r="BB56" s="1691" t="str">
        <f>BE52&amp;"-"&amp;BG52</f>
        <v>-</v>
      </c>
      <c r="BC56" s="2258"/>
      <c r="BE56" s="428"/>
      <c r="BF56" s="428" t="str">
        <f t="shared" ref="BF56:BF63" si="4">IF(T56="","",T56)</f>
        <v/>
      </c>
      <c r="BG56" s="428"/>
      <c r="BH56" s="428"/>
    </row>
    <row r="57" spans="1:60" ht="11.25" customHeight="1">
      <c r="A57" s="1244" t="s">
        <v>238</v>
      </c>
      <c r="B57" s="1244" t="s">
        <v>239</v>
      </c>
      <c r="C57" s="1244" t="s">
        <v>240</v>
      </c>
      <c r="D57" s="1244" t="s">
        <v>1710</v>
      </c>
      <c r="E57" s="2236"/>
      <c r="F57" s="2236"/>
      <c r="G57" s="2236"/>
      <c r="H57" s="2236"/>
      <c r="I57" s="2238"/>
      <c r="J57" s="2237"/>
      <c r="K57" s="1244"/>
      <c r="L57" s="1245"/>
      <c r="P57" s="2157"/>
      <c r="Q57" s="2157"/>
      <c r="R57" s="280"/>
      <c r="S57" s="1161"/>
      <c r="T57" s="205" t="s">
        <v>1541</v>
      </c>
      <c r="U57" s="294"/>
      <c r="V57" s="294"/>
      <c r="W57" s="294"/>
      <c r="X57" s="294"/>
      <c r="Y57" s="294"/>
      <c r="Z57" s="294"/>
      <c r="AA57" s="294"/>
      <c r="AB57" s="294"/>
      <c r="AC57" s="251"/>
      <c r="AD57" s="1366"/>
      <c r="AE57" s="294"/>
      <c r="AF57" s="294"/>
      <c r="AG57" s="294"/>
      <c r="AH57" s="294"/>
      <c r="AI57" s="294"/>
      <c r="AJ57" s="294"/>
      <c r="AK57" s="294"/>
      <c r="AL57" s="294"/>
      <c r="AM57" s="294"/>
      <c r="AN57" s="294"/>
      <c r="AO57" s="294"/>
      <c r="AP57" s="294"/>
      <c r="AQ57" s="294"/>
      <c r="AR57" s="294"/>
      <c r="AS57" s="294"/>
      <c r="AT57" s="294"/>
      <c r="AU57" s="294"/>
      <c r="AV57" s="294"/>
      <c r="AW57" s="294"/>
      <c r="AX57" s="294"/>
      <c r="AY57" s="294"/>
      <c r="AZ57" s="294"/>
      <c r="BA57" s="294"/>
      <c r="BB57" s="251"/>
      <c r="BC57" s="2259"/>
      <c r="BE57" s="428"/>
      <c r="BF57" s="428" t="str">
        <f t="shared" si="4"/>
        <v>Добавить строку</v>
      </c>
      <c r="BG57" s="428"/>
      <c r="BH57" s="428"/>
    </row>
    <row r="58" spans="1:60" s="1772" customFormat="1" ht="0" hidden="1" customHeight="1">
      <c r="A58" s="1228" t="s">
        <v>238</v>
      </c>
      <c r="B58" s="1228" t="s">
        <v>239</v>
      </c>
      <c r="C58" s="1228" t="s">
        <v>240</v>
      </c>
      <c r="D58" s="1228" t="s">
        <v>1710</v>
      </c>
      <c r="E58" s="2236"/>
      <c r="F58" s="2236"/>
      <c r="G58" s="2236"/>
      <c r="H58" s="2236"/>
      <c r="I58" s="2237"/>
      <c r="J58" s="1228"/>
      <c r="K58" s="1228"/>
      <c r="L58" s="1231"/>
      <c r="M58" s="438"/>
      <c r="N58" s="438"/>
      <c r="O58" s="438"/>
      <c r="P58" s="2157"/>
      <c r="Q58" s="1326"/>
      <c r="R58" s="280"/>
      <c r="S58" s="1266"/>
      <c r="T58" s="1267"/>
      <c r="U58" s="1268"/>
      <c r="V58" s="1268"/>
      <c r="W58" s="1268"/>
      <c r="X58" s="1268"/>
      <c r="Y58" s="1268"/>
      <c r="Z58" s="1268"/>
      <c r="AA58" s="1268"/>
      <c r="AB58" s="1268"/>
      <c r="AC58" s="1268"/>
      <c r="AD58" s="1268"/>
      <c r="AE58" s="1268"/>
      <c r="AF58" s="1268"/>
      <c r="AG58" s="1268"/>
      <c r="AH58" s="1268"/>
      <c r="AI58" s="1268"/>
      <c r="AJ58" s="1268"/>
      <c r="AK58" s="1268"/>
      <c r="AL58" s="1268"/>
      <c r="AM58" s="1268"/>
      <c r="AN58" s="1268"/>
      <c r="AO58" s="1268"/>
      <c r="AP58" s="1268"/>
      <c r="AQ58" s="1268"/>
      <c r="AR58" s="1268"/>
      <c r="AS58" s="1268"/>
      <c r="AT58" s="1268"/>
      <c r="AU58" s="1268"/>
      <c r="AV58" s="1268"/>
      <c r="AW58" s="1268"/>
      <c r="AX58" s="1268"/>
      <c r="AY58" s="1268"/>
      <c r="AZ58" s="1268"/>
      <c r="BA58" s="1268"/>
      <c r="BB58" s="1268"/>
      <c r="BC58" s="1269"/>
      <c r="BE58" s="428"/>
      <c r="BF58" s="428" t="str">
        <f t="shared" si="4"/>
        <v/>
      </c>
      <c r="BG58" s="428"/>
      <c r="BH58" s="428"/>
    </row>
    <row r="59" spans="1:60" s="1772" customFormat="1" ht="0" hidden="1" customHeight="1">
      <c r="A59" s="1228" t="s">
        <v>238</v>
      </c>
      <c r="B59" s="1228" t="s">
        <v>239</v>
      </c>
      <c r="C59" s="1228" t="s">
        <v>240</v>
      </c>
      <c r="D59" s="1228" t="s">
        <v>1710</v>
      </c>
      <c r="E59" s="2236"/>
      <c r="F59" s="2236"/>
      <c r="G59" s="2236"/>
      <c r="H59" s="2235"/>
      <c r="I59" s="1228"/>
      <c r="J59" s="1228"/>
      <c r="K59" s="1228"/>
      <c r="L59" s="1231"/>
      <c r="M59" s="1201"/>
      <c r="N59" s="1201"/>
      <c r="O59" s="446"/>
      <c r="P59" s="311"/>
      <c r="Q59" s="1229"/>
      <c r="R59" s="1275"/>
      <c r="S59" s="1266"/>
      <c r="T59" s="1267"/>
      <c r="U59" s="1268"/>
      <c r="V59" s="1268"/>
      <c r="W59" s="1268"/>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268"/>
      <c r="AS59" s="1268"/>
      <c r="AT59" s="1268"/>
      <c r="AU59" s="1268"/>
      <c r="AV59" s="1268"/>
      <c r="AW59" s="1268"/>
      <c r="AX59" s="1268"/>
      <c r="AY59" s="1268"/>
      <c r="AZ59" s="1268"/>
      <c r="BA59" s="1268"/>
      <c r="BB59" s="1268"/>
      <c r="BC59" s="1269"/>
      <c r="BE59" s="428"/>
      <c r="BF59" s="428" t="str">
        <f t="shared" si="4"/>
        <v/>
      </c>
      <c r="BG59" s="428"/>
      <c r="BH59" s="428"/>
    </row>
    <row r="60" spans="1:60" s="1772" customFormat="1" ht="0" hidden="1" customHeight="1">
      <c r="A60" s="1228" t="s">
        <v>238</v>
      </c>
      <c r="B60" s="1228" t="s">
        <v>239</v>
      </c>
      <c r="C60" s="1228" t="s">
        <v>240</v>
      </c>
      <c r="D60" s="1200"/>
      <c r="E60" s="2236"/>
      <c r="F60" s="2236"/>
      <c r="G60" s="2235"/>
      <c r="H60" s="1200"/>
      <c r="I60" s="1200"/>
      <c r="J60" s="1200"/>
      <c r="K60" s="1200"/>
      <c r="L60" s="1328"/>
      <c r="M60" s="1201"/>
      <c r="N60" s="1201"/>
      <c r="P60" s="1202"/>
      <c r="Q60" s="1203"/>
      <c r="R60" s="1202"/>
      <c r="S60" s="1208"/>
      <c r="T60" s="1211"/>
      <c r="U60" s="1210"/>
      <c r="V60" s="1210"/>
      <c r="W60" s="1210"/>
      <c r="X60" s="1210"/>
      <c r="Y60" s="1210"/>
      <c r="Z60" s="1210"/>
      <c r="AA60" s="1210"/>
      <c r="AB60" s="1210"/>
      <c r="AC60" s="1210"/>
      <c r="AD60" s="1210"/>
      <c r="AE60" s="1210"/>
      <c r="AF60" s="1210"/>
      <c r="AG60" s="1210"/>
      <c r="AH60" s="1210"/>
      <c r="AI60" s="1210"/>
      <c r="AJ60" s="1210"/>
      <c r="AK60" s="1210"/>
      <c r="AL60" s="1210"/>
      <c r="AM60" s="1210"/>
      <c r="AN60" s="1210"/>
      <c r="AO60" s="1210"/>
      <c r="AP60" s="1210"/>
      <c r="AQ60" s="1210"/>
      <c r="AR60" s="1210"/>
      <c r="AS60" s="1210"/>
      <c r="AT60" s="1210"/>
      <c r="AU60" s="1210"/>
      <c r="AV60" s="1210"/>
      <c r="AW60" s="1210"/>
      <c r="AX60" s="1210"/>
      <c r="AY60" s="1210"/>
      <c r="AZ60" s="1210"/>
      <c r="BA60" s="1210"/>
      <c r="BB60" s="1210"/>
      <c r="BC60" s="1210"/>
      <c r="BE60" s="696"/>
      <c r="BF60" s="696" t="str">
        <f t="shared" si="4"/>
        <v/>
      </c>
      <c r="BG60" s="696"/>
      <c r="BH60" s="696"/>
    </row>
    <row r="61" spans="1:60" s="1772" customFormat="1" ht="0" hidden="1" customHeight="1">
      <c r="A61" s="1228" t="s">
        <v>238</v>
      </c>
      <c r="B61" s="1228" t="s">
        <v>239</v>
      </c>
      <c r="C61" s="1200"/>
      <c r="D61" s="1200"/>
      <c r="E61" s="2236"/>
      <c r="F61" s="2235"/>
      <c r="G61" s="1200"/>
      <c r="H61" s="1200"/>
      <c r="I61" s="1200"/>
      <c r="J61" s="1200"/>
      <c r="K61" s="1200"/>
      <c r="L61" s="1328"/>
      <c r="M61" s="1207"/>
      <c r="N61" s="1207"/>
      <c r="P61" s="1202"/>
      <c r="Q61" s="1203"/>
      <c r="R61" s="1202"/>
      <c r="S61" s="1208"/>
      <c r="T61" s="1211" t="s">
        <v>1437</v>
      </c>
      <c r="U61" s="1210"/>
      <c r="V61" s="1210"/>
      <c r="W61" s="1210"/>
      <c r="X61" s="1210"/>
      <c r="Y61" s="1210"/>
      <c r="Z61" s="1210"/>
      <c r="AA61" s="1210"/>
      <c r="AB61" s="1210"/>
      <c r="AC61" s="1210"/>
      <c r="AD61" s="1210"/>
      <c r="AE61" s="1210"/>
      <c r="AF61" s="1210"/>
      <c r="AG61" s="1210"/>
      <c r="AH61" s="1210"/>
      <c r="AI61" s="1210"/>
      <c r="AJ61" s="1210"/>
      <c r="AK61" s="1210"/>
      <c r="AL61" s="1210"/>
      <c r="AM61" s="1210"/>
      <c r="AN61" s="1210"/>
      <c r="AO61" s="1210"/>
      <c r="AP61" s="1210"/>
      <c r="AQ61" s="1210"/>
      <c r="AR61" s="1210"/>
      <c r="AS61" s="1210"/>
      <c r="AT61" s="1210"/>
      <c r="AU61" s="1210"/>
      <c r="AV61" s="1210"/>
      <c r="AW61" s="1210"/>
      <c r="AX61" s="1210"/>
      <c r="AY61" s="1210"/>
      <c r="AZ61" s="1210"/>
      <c r="BA61" s="1210"/>
      <c r="BB61" s="1210"/>
      <c r="BC61" s="1210"/>
      <c r="BE61" s="696"/>
      <c r="BF61" s="696" t="str">
        <f t="shared" si="4"/>
        <v>Добавить централизованную систему для дифференциации</v>
      </c>
      <c r="BG61" s="696"/>
      <c r="BH61" s="696"/>
    </row>
    <row r="62" spans="1:60" s="1772" customFormat="1" ht="0" hidden="1" customHeight="1">
      <c r="A62" s="1228" t="s">
        <v>238</v>
      </c>
      <c r="B62" s="1228"/>
      <c r="C62" s="1228"/>
      <c r="D62" s="1228"/>
      <c r="E62" s="2235"/>
      <c r="F62" s="1228"/>
      <c r="G62" s="1228"/>
      <c r="H62" s="1228"/>
      <c r="I62" s="1228"/>
      <c r="J62" s="1228"/>
      <c r="K62" s="1228"/>
      <c r="L62" s="1231"/>
      <c r="M62" s="1207"/>
      <c r="N62" s="1207"/>
      <c r="O62" s="446"/>
      <c r="P62" s="311"/>
      <c r="Q62" s="1229"/>
      <c r="R62" s="311"/>
      <c r="S62" s="1208"/>
      <c r="T62" s="1211" t="s">
        <v>1438</v>
      </c>
      <c r="U62" s="1210"/>
      <c r="V62" s="1210"/>
      <c r="W62" s="1210"/>
      <c r="X62" s="1210"/>
      <c r="Y62" s="1210"/>
      <c r="Z62" s="1210"/>
      <c r="AA62" s="1210"/>
      <c r="AB62" s="1210"/>
      <c r="AC62" s="1210"/>
      <c r="AD62" s="1210"/>
      <c r="AE62" s="1210"/>
      <c r="AF62" s="1210"/>
      <c r="AG62" s="1210"/>
      <c r="AH62" s="1210"/>
      <c r="AI62" s="1210"/>
      <c r="AJ62" s="1210"/>
      <c r="AK62" s="1210"/>
      <c r="AL62" s="1210"/>
      <c r="AM62" s="1210"/>
      <c r="AN62" s="1210"/>
      <c r="AO62" s="1210"/>
      <c r="AP62" s="1210"/>
      <c r="AQ62" s="1210"/>
      <c r="AR62" s="1210"/>
      <c r="AS62" s="1210"/>
      <c r="AT62" s="1210"/>
      <c r="AU62" s="1210"/>
      <c r="AV62" s="1210"/>
      <c r="AW62" s="1210"/>
      <c r="AX62" s="1210"/>
      <c r="AY62" s="1210"/>
      <c r="AZ62" s="1210"/>
      <c r="BA62" s="1210"/>
      <c r="BB62" s="1210"/>
      <c r="BC62" s="1210"/>
      <c r="BE62" s="428"/>
      <c r="BF62" s="428" t="str">
        <f t="shared" si="4"/>
        <v>Добавить территорию для дифференциации</v>
      </c>
      <c r="BG62" s="428"/>
      <c r="BH62" s="428"/>
    </row>
    <row r="63" spans="1:60" s="1772" customFormat="1" ht="0" hidden="1" customHeight="1">
      <c r="A63" s="1200"/>
      <c r="B63" s="1200"/>
      <c r="C63" s="1200"/>
      <c r="D63" s="1200"/>
      <c r="E63" s="1228"/>
      <c r="F63" s="1200"/>
      <c r="G63" s="1200"/>
      <c r="H63" s="1200"/>
      <c r="I63" s="1200"/>
      <c r="J63" s="1200"/>
      <c r="K63" s="1200"/>
      <c r="L63" s="1328"/>
      <c r="M63" s="1207"/>
      <c r="N63" s="1207"/>
      <c r="P63" s="1202"/>
      <c r="Q63" s="1203"/>
      <c r="R63" s="1202"/>
      <c r="S63" s="1208"/>
      <c r="T63" s="1211" t="s">
        <v>1439</v>
      </c>
      <c r="U63" s="1210"/>
      <c r="V63" s="1210"/>
      <c r="W63" s="1210"/>
      <c r="X63" s="1210"/>
      <c r="Y63" s="1210"/>
      <c r="Z63" s="1210"/>
      <c r="AA63" s="1210"/>
      <c r="AB63" s="1210"/>
      <c r="AC63" s="1210"/>
      <c r="AD63" s="1210"/>
      <c r="AE63" s="1210"/>
      <c r="AF63" s="1210"/>
      <c r="AG63" s="1210"/>
      <c r="AH63" s="1210"/>
      <c r="AI63" s="1210"/>
      <c r="AJ63" s="1210"/>
      <c r="AK63" s="1210"/>
      <c r="AL63" s="1210"/>
      <c r="AM63" s="1210"/>
      <c r="AN63" s="1210"/>
      <c r="AO63" s="1210"/>
      <c r="AP63" s="1210"/>
      <c r="AQ63" s="1210"/>
      <c r="AR63" s="1210"/>
      <c r="AS63" s="1210"/>
      <c r="AT63" s="1210"/>
      <c r="AU63" s="1210"/>
      <c r="AV63" s="1210"/>
      <c r="AW63" s="1210"/>
      <c r="AX63" s="1210"/>
      <c r="AY63" s="1210"/>
      <c r="AZ63" s="1210"/>
      <c r="BA63" s="1210"/>
      <c r="BB63" s="1210"/>
      <c r="BC63" s="1210"/>
      <c r="BE63" s="696"/>
      <c r="BF63" s="696" t="str">
        <f t="shared" si="4"/>
        <v>Добавить наименование тарифа</v>
      </c>
      <c r="BG63" s="696"/>
      <c r="BH63" s="696"/>
    </row>
    <row r="64" spans="1:60" ht="11.25" hidden="1" customHeight="1">
      <c r="M64" s="1036"/>
      <c r="N64" s="1036"/>
      <c r="O64" s="464"/>
      <c r="P64" s="1036"/>
      <c r="Q64" s="1036"/>
      <c r="R64" s="1031"/>
      <c r="S64" s="1031"/>
      <c r="BD64" s="1031"/>
      <c r="BE64" s="1031"/>
      <c r="BF64" s="1031"/>
      <c r="BG64" s="1031"/>
      <c r="BH64" s="1031"/>
    </row>
    <row r="65" spans="15:55" ht="18.75" hidden="1" customHeight="1">
      <c r="O65" s="464"/>
      <c r="S65" s="1128" t="s">
        <v>1509</v>
      </c>
      <c r="T65" s="2234" t="s">
        <v>1711</v>
      </c>
      <c r="U65" s="2234"/>
      <c r="V65" s="2234"/>
      <c r="W65" s="2234"/>
      <c r="X65" s="2234"/>
      <c r="Y65" s="2234"/>
      <c r="Z65" s="2234"/>
      <c r="AA65" s="2234"/>
      <c r="AB65" s="2234"/>
      <c r="AC65" s="2234"/>
      <c r="AD65" s="2234"/>
      <c r="AE65" s="2234"/>
      <c r="AF65" s="2234"/>
      <c r="AG65" s="2234"/>
      <c r="AH65" s="2234"/>
      <c r="AI65" s="2234"/>
      <c r="AJ65" s="2234"/>
      <c r="AK65" s="2234"/>
      <c r="AL65" s="2234"/>
      <c r="AM65" s="2234"/>
      <c r="AN65" s="2234"/>
      <c r="AO65" s="2234"/>
      <c r="AP65" s="2234"/>
      <c r="AQ65" s="2234"/>
      <c r="AR65" s="2234"/>
      <c r="AS65" s="2234"/>
      <c r="AT65" s="2234"/>
      <c r="AU65" s="2234"/>
      <c r="AV65" s="2234"/>
      <c r="AW65" s="2234"/>
      <c r="AX65" s="2234"/>
      <c r="AY65" s="2234"/>
      <c r="AZ65" s="2234"/>
      <c r="BA65" s="2234"/>
      <c r="BB65" s="2234"/>
      <c r="BC65" s="2234"/>
    </row>
    <row r="66" spans="15:55" ht="14.25" hidden="1" customHeight="1">
      <c r="O66" s="464"/>
      <c r="T66" s="1314"/>
      <c r="U66" s="1314"/>
      <c r="V66" s="1314"/>
      <c r="W66" s="1314"/>
      <c r="X66" s="1314"/>
      <c r="Y66" s="1314"/>
      <c r="Z66" s="1314"/>
      <c r="AA66" s="1314"/>
      <c r="AB66" s="1314"/>
      <c r="AC66" s="1314"/>
      <c r="AD66" s="1314"/>
      <c r="AE66" s="1314"/>
      <c r="AF66" s="1314"/>
      <c r="AG66" s="1314"/>
      <c r="AH66" s="1314"/>
      <c r="AI66" s="1314"/>
      <c r="AJ66" s="1314"/>
      <c r="AK66" s="1314"/>
      <c r="AL66" s="1314"/>
      <c r="AM66" s="1314"/>
      <c r="AN66" s="1314"/>
      <c r="AO66" s="1314"/>
      <c r="AP66" s="1314"/>
      <c r="AQ66" s="1314"/>
      <c r="AR66" s="1314"/>
      <c r="AS66" s="1314"/>
      <c r="AT66" s="1314"/>
      <c r="AU66" s="1314"/>
      <c r="AV66" s="1314"/>
      <c r="AW66" s="1314"/>
      <c r="AX66" s="1314"/>
      <c r="AY66" s="1314"/>
      <c r="AZ66" s="1314"/>
      <c r="BA66" s="1314"/>
      <c r="BB66" s="1314"/>
      <c r="BC66" s="1314"/>
    </row>
    <row r="67" spans="15:55" ht="18.75" hidden="1" customHeight="1">
      <c r="O67" s="464"/>
      <c r="S67" s="1128" t="s">
        <v>1509</v>
      </c>
      <c r="T67" s="2234" t="s">
        <v>1675</v>
      </c>
      <c r="U67" s="2234"/>
      <c r="V67" s="2234"/>
      <c r="W67" s="2234"/>
      <c r="X67" s="2234"/>
      <c r="Y67" s="2234"/>
      <c r="Z67" s="2234"/>
      <c r="AA67" s="2234"/>
      <c r="AB67" s="2234"/>
      <c r="AC67" s="2234"/>
      <c r="AD67" s="2234"/>
      <c r="AE67" s="2234"/>
      <c r="AF67" s="2234"/>
      <c r="AG67" s="2234"/>
      <c r="AH67" s="2234"/>
      <c r="AI67" s="2234"/>
      <c r="AJ67" s="2234"/>
      <c r="AK67" s="2234"/>
      <c r="AL67" s="2234"/>
      <c r="AM67" s="2234"/>
      <c r="AN67" s="2234"/>
      <c r="AO67" s="2234"/>
      <c r="AP67" s="2234"/>
      <c r="AQ67" s="2234"/>
      <c r="AR67" s="2234"/>
      <c r="AS67" s="2234"/>
      <c r="AT67" s="2234"/>
      <c r="AU67" s="2234"/>
      <c r="AV67" s="2234"/>
      <c r="AW67" s="2234"/>
      <c r="AX67" s="2234"/>
      <c r="AY67" s="2234"/>
      <c r="AZ67" s="2234"/>
      <c r="BA67" s="2234"/>
      <c r="BB67" s="2234"/>
      <c r="BC67" s="2234"/>
    </row>
    <row r="68" spans="15:55" ht="14.25" customHeight="1">
      <c r="O68" s="464"/>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L16"/>
  <sheetViews>
    <sheetView showGridLines="0" topLeftCell="E3" zoomScale="90" workbookViewId="0">
      <selection activeCell="I13" sqref="I13:I14"/>
    </sheetView>
  </sheetViews>
  <sheetFormatPr defaultColWidth="9.140625" defaultRowHeight="11.25" customHeight="1"/>
  <cols>
    <col min="1" max="1" width="6.42578125" style="1950" hidden="1" customWidth="1"/>
    <col min="2" max="2" width="2" style="1950" hidden="1" customWidth="1"/>
    <col min="3" max="3" width="3.7109375" style="1950" customWidth="1"/>
    <col min="4" max="4" width="4.28515625" style="1950" customWidth="1"/>
    <col min="5" max="5" width="48" style="1950" customWidth="1"/>
    <col min="6" max="6" width="6.42578125" style="1950" customWidth="1"/>
    <col min="7" max="7" width="4.42578125" style="1950" customWidth="1"/>
    <col min="8" max="8" width="5.5703125" style="1950" customWidth="1"/>
    <col min="9" max="9" width="52.85546875" style="1950" customWidth="1"/>
    <col min="10" max="10" width="7" style="1950" customWidth="1"/>
    <col min="11" max="11" width="3.7109375" style="1950" customWidth="1"/>
    <col min="12" max="12" width="6.28515625" style="1950" customWidth="1"/>
    <col min="13" max="13" width="56.28515625" style="1950" customWidth="1"/>
    <col min="14" max="14" width="9.140625" style="1785"/>
    <col min="15" max="20" width="9.140625" style="1765" hidden="1"/>
    <col min="21" max="24" width="9.140625" style="1935" hidden="1"/>
    <col min="25" max="37" width="9.140625" style="1785" hidden="1"/>
    <col min="38" max="38" width="9.140625" style="1785"/>
  </cols>
  <sheetData>
    <row r="1" spans="1:38" ht="11.25" hidden="1" customHeight="1"/>
    <row r="2" spans="1:38" ht="11.25" hidden="1" customHeight="1"/>
    <row r="4" spans="1:38" ht="34.5" customHeight="1">
      <c r="A4" s="511"/>
      <c r="B4" s="511"/>
      <c r="D4" s="2014"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015"/>
      <c r="F4" s="2015"/>
      <c r="G4" s="2015"/>
      <c r="H4" s="2015"/>
      <c r="I4" s="2016"/>
      <c r="J4" s="510"/>
      <c r="K4" s="510"/>
      <c r="L4" s="510"/>
      <c r="M4" s="510"/>
    </row>
    <row r="5" spans="1:38" s="1640" customFormat="1" ht="15" customHeight="1">
      <c r="A5" s="511"/>
      <c r="B5" s="511"/>
      <c r="C5" s="511"/>
      <c r="D5" s="2017" t="str">
        <f>IF(org=0,"Не определено",org)</f>
        <v>ООО "Автозаводская ТЭЦ"</v>
      </c>
      <c r="E5" s="2018"/>
      <c r="F5" s="2018"/>
      <c r="G5" s="2018"/>
      <c r="H5" s="2018"/>
      <c r="I5" s="2019"/>
      <c r="J5" s="512"/>
      <c r="K5" s="512"/>
      <c r="L5" s="512"/>
      <c r="M5" s="512"/>
      <c r="N5" s="512"/>
      <c r="O5" s="769"/>
      <c r="P5" s="769"/>
      <c r="Q5" s="769"/>
      <c r="R5" s="769"/>
      <c r="S5" s="769"/>
      <c r="T5" s="769"/>
      <c r="U5" s="1144"/>
      <c r="V5" s="1144"/>
      <c r="W5" s="1144"/>
      <c r="X5" s="1144"/>
      <c r="Y5" s="512"/>
      <c r="Z5" s="512"/>
      <c r="AA5" s="512"/>
      <c r="AB5" s="512"/>
      <c r="AC5" s="512"/>
      <c r="AD5" s="512"/>
      <c r="AE5" s="512"/>
      <c r="AF5" s="512"/>
      <c r="AG5" s="512"/>
      <c r="AH5" s="512"/>
      <c r="AI5" s="512"/>
      <c r="AJ5" s="512"/>
      <c r="AK5" s="512"/>
      <c r="AL5" s="512"/>
    </row>
    <row r="6" spans="1:38" s="1640" customFormat="1" ht="6" customHeight="1">
      <c r="A6" s="2006"/>
      <c r="B6" s="2006"/>
      <c r="C6" s="2006"/>
      <c r="D6" s="2006"/>
      <c r="E6" s="2006"/>
      <c r="F6" s="2006"/>
      <c r="G6" s="513"/>
      <c r="H6" s="513"/>
      <c r="I6" s="513"/>
      <c r="J6" s="513"/>
      <c r="K6" s="513"/>
      <c r="N6" s="515"/>
      <c r="O6" s="1284"/>
      <c r="P6" s="1284"/>
      <c r="Q6" s="1284"/>
      <c r="R6" s="1284"/>
      <c r="S6" s="1284"/>
      <c r="T6" s="1284"/>
      <c r="U6" s="1146"/>
      <c r="V6" s="1146"/>
      <c r="W6" s="1146"/>
      <c r="X6" s="1146"/>
      <c r="Y6" s="515"/>
      <c r="Z6" s="515"/>
      <c r="AA6" s="515"/>
      <c r="AB6" s="515"/>
      <c r="AC6" s="515"/>
      <c r="AD6" s="515"/>
      <c r="AE6" s="515"/>
      <c r="AF6" s="515"/>
      <c r="AG6" s="515"/>
      <c r="AH6" s="515"/>
      <c r="AI6" s="515"/>
      <c r="AJ6" s="515"/>
      <c r="AK6" s="515"/>
      <c r="AL6" s="515"/>
    </row>
    <row r="7" spans="1:38" ht="45.75" hidden="1" customHeight="1">
      <c r="E7" s="202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25"/>
      <c r="G7" s="2025"/>
      <c r="H7" s="2025"/>
      <c r="I7" s="2025"/>
      <c r="J7" s="2025"/>
      <c r="K7" s="2025"/>
      <c r="L7" s="2025"/>
      <c r="M7" s="2025"/>
    </row>
    <row r="8" spans="1:38" s="1640" customFormat="1" ht="6" customHeight="1">
      <c r="A8" s="516"/>
      <c r="B8" s="516"/>
      <c r="C8" s="516"/>
      <c r="D8" s="516"/>
      <c r="E8" s="516"/>
      <c r="F8" s="516"/>
      <c r="G8" s="516"/>
      <c r="H8" s="516"/>
      <c r="I8" s="516"/>
      <c r="J8" s="516"/>
      <c r="K8" s="516"/>
      <c r="L8" s="516"/>
      <c r="M8" s="514"/>
      <c r="N8" s="512"/>
      <c r="O8" s="769"/>
      <c r="P8" s="769"/>
      <c r="Q8" s="769"/>
      <c r="R8" s="769"/>
      <c r="S8" s="769"/>
      <c r="T8" s="769"/>
      <c r="U8" s="1144"/>
      <c r="V8" s="1144"/>
      <c r="W8" s="1144"/>
      <c r="X8" s="1144"/>
      <c r="Y8" s="512"/>
      <c r="Z8" s="512"/>
      <c r="AA8" s="512"/>
      <c r="AB8" s="512"/>
      <c r="AC8" s="512"/>
      <c r="AD8" s="512"/>
      <c r="AE8" s="512"/>
      <c r="AF8" s="512"/>
      <c r="AG8" s="512"/>
      <c r="AH8" s="512"/>
      <c r="AI8" s="512"/>
      <c r="AJ8" s="512"/>
      <c r="AK8" s="512"/>
      <c r="AL8" s="512"/>
    </row>
    <row r="9" spans="1:38" ht="18" customHeight="1">
      <c r="A9" s="2020"/>
      <c r="B9" s="250"/>
      <c r="C9" s="250"/>
      <c r="D9" s="2021" t="s">
        <v>105</v>
      </c>
      <c r="E9" s="2021"/>
      <c r="F9" s="2022" t="s">
        <v>106</v>
      </c>
      <c r="G9" s="2023"/>
      <c r="H9" s="2023"/>
      <c r="I9" s="2023"/>
      <c r="J9" s="2026" t="s">
        <v>107</v>
      </c>
      <c r="K9" s="2026"/>
      <c r="L9" s="2026"/>
      <c r="M9" s="2026"/>
    </row>
    <row r="10" spans="1:38" ht="22.5" customHeight="1">
      <c r="A10" s="2020"/>
      <c r="B10" s="517"/>
      <c r="C10" s="453"/>
      <c r="D10" s="451" t="s">
        <v>88</v>
      </c>
      <c r="E10" s="451" t="s">
        <v>89</v>
      </c>
      <c r="F10" s="451" t="s">
        <v>108</v>
      </c>
      <c r="G10" s="2027" t="s">
        <v>88</v>
      </c>
      <c r="H10" s="2028"/>
      <c r="I10" s="451" t="s">
        <v>89</v>
      </c>
      <c r="J10" s="451" t="s">
        <v>108</v>
      </c>
      <c r="K10" s="2027" t="s">
        <v>88</v>
      </c>
      <c r="L10" s="2028"/>
      <c r="M10" s="451" t="s">
        <v>89</v>
      </c>
      <c r="N10" s="1488"/>
    </row>
    <row r="11" spans="1:38" s="1950" customFormat="1" ht="11.25" hidden="1" customHeight="1">
      <c r="A11" s="518"/>
      <c r="B11" s="518"/>
      <c r="C11" s="518"/>
      <c r="D11" s="519" t="s">
        <v>109</v>
      </c>
      <c r="E11" s="519" t="s">
        <v>110</v>
      </c>
      <c r="F11" s="519" t="s">
        <v>90</v>
      </c>
      <c r="G11" s="2010" t="s">
        <v>91</v>
      </c>
      <c r="H11" s="2011"/>
      <c r="I11" s="519" t="s">
        <v>111</v>
      </c>
      <c r="J11" s="519" t="s">
        <v>92</v>
      </c>
      <c r="K11" s="2012" t="s">
        <v>93</v>
      </c>
      <c r="L11" s="2013"/>
      <c r="M11" s="519" t="s">
        <v>112</v>
      </c>
      <c r="N11" s="1487"/>
      <c r="O11" s="1283"/>
      <c r="P11" s="1285"/>
      <c r="Q11" s="1285"/>
      <c r="R11" s="1285"/>
      <c r="S11" s="1285"/>
      <c r="T11" s="1285"/>
      <c r="U11" s="1147"/>
      <c r="V11" s="1147"/>
      <c r="W11" s="1147"/>
      <c r="X11" s="1147"/>
      <c r="Y11" s="520"/>
      <c r="Z11" s="520"/>
      <c r="AA11" s="520"/>
      <c r="AB11" s="520"/>
      <c r="AC11" s="520"/>
      <c r="AD11" s="520"/>
      <c r="AE11" s="520"/>
      <c r="AF11" s="520"/>
      <c r="AG11" s="520"/>
      <c r="AH11" s="520"/>
      <c r="AI11" s="520"/>
      <c r="AJ11" s="520"/>
      <c r="AK11" s="520"/>
      <c r="AL11" s="520"/>
    </row>
    <row r="12" spans="1:38" ht="0.75" customHeight="1">
      <c r="A12" s="521"/>
      <c r="B12" s="522"/>
      <c r="C12" s="522"/>
      <c r="D12" s="523"/>
      <c r="E12" s="294"/>
      <c r="F12" s="524"/>
      <c r="G12" s="946"/>
      <c r="H12" s="946"/>
      <c r="I12" s="524"/>
      <c r="J12" s="524"/>
      <c r="K12" s="102"/>
      <c r="L12" s="294"/>
      <c r="M12" s="525"/>
      <c r="N12" s="1488"/>
      <c r="O12" s="1283" t="s">
        <v>113</v>
      </c>
      <c r="P12" s="1283" t="s">
        <v>114</v>
      </c>
      <c r="Q12" s="1283" t="s">
        <v>115</v>
      </c>
      <c r="R12" s="1283" t="s">
        <v>116</v>
      </c>
    </row>
    <row r="13" spans="1:38" s="1950" customFormat="1" ht="15" customHeight="1">
      <c r="A13" s="211"/>
      <c r="B13" s="211"/>
      <c r="C13" s="454"/>
      <c r="D13" s="2032" t="s">
        <v>109</v>
      </c>
      <c r="E13" s="2033"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F13" s="2036" t="s">
        <v>66</v>
      </c>
      <c r="G13" s="2037"/>
      <c r="H13" s="2038">
        <v>1</v>
      </c>
      <c r="I13" s="2029" t="str">
        <f>IF(U13="","",INDEX(TERRITORY_MR_LIST,MATCH(U13,TERRITORY_LIST_ID,0)))</f>
        <v>Территория 1</v>
      </c>
      <c r="J13" s="2031" t="s">
        <v>56</v>
      </c>
      <c r="K13" s="526"/>
      <c r="L13" s="455" t="s">
        <v>109</v>
      </c>
      <c r="M13" s="527" t="s">
        <v>17</v>
      </c>
      <c r="N13" s="717"/>
      <c r="O13" s="1286" t="s">
        <v>117</v>
      </c>
      <c r="P13" s="1283" t="str">
        <f>$E$13</f>
        <v>Производство тепловой энергии. Комбинированная выработка с уст. мощностью производства электрической энергии 25 МВт и более</v>
      </c>
      <c r="Q13" s="1283" t="str">
        <f>IF($F$13="нет","без дифференциации",$I$13)</f>
        <v>Территория 1</v>
      </c>
      <c r="R13" s="1283" t="str">
        <f>IF($J$13="нет","без дифференциации",M13)</f>
        <v>без дифференциации</v>
      </c>
      <c r="S13" s="1286"/>
      <c r="T13" s="1286"/>
      <c r="U13" s="1148" t="s">
        <v>98</v>
      </c>
      <c r="V13" s="1148" t="s">
        <v>118</v>
      </c>
      <c r="W13" s="1148"/>
      <c r="X13" s="1148"/>
      <c r="Y13" s="528" t="s">
        <v>119</v>
      </c>
      <c r="Z13" s="528">
        <v>1705000</v>
      </c>
      <c r="AA13" s="528"/>
      <c r="AB13" s="528"/>
      <c r="AC13" s="528"/>
      <c r="AD13" s="528"/>
      <c r="AE13" s="528"/>
      <c r="AF13" s="528"/>
      <c r="AG13" s="528"/>
      <c r="AH13" s="528"/>
      <c r="AI13" s="528"/>
      <c r="AJ13" s="528"/>
      <c r="AK13" s="528"/>
      <c r="AL13" s="528"/>
    </row>
    <row r="14" spans="1:38" s="1950" customFormat="1" ht="15" customHeight="1">
      <c r="A14" s="211"/>
      <c r="B14" s="211"/>
      <c r="C14" s="104"/>
      <c r="D14" s="2032"/>
      <c r="E14" s="2034"/>
      <c r="F14" s="2031"/>
      <c r="G14" s="2037"/>
      <c r="H14" s="2038"/>
      <c r="I14" s="2030"/>
      <c r="J14" s="2031"/>
      <c r="K14" s="355"/>
      <c r="L14" s="105"/>
      <c r="M14" s="529" t="s">
        <v>120</v>
      </c>
      <c r="N14" s="717"/>
      <c r="O14" s="1286"/>
      <c r="P14" s="1283"/>
      <c r="Q14" s="1283"/>
      <c r="R14" s="1283"/>
      <c r="S14" s="1286"/>
      <c r="T14" s="1286"/>
      <c r="U14" s="1148"/>
      <c r="V14" s="1148"/>
      <c r="W14" s="1148"/>
      <c r="X14" s="1148"/>
      <c r="Y14" s="528"/>
      <c r="Z14" s="528"/>
      <c r="AA14" s="528"/>
      <c r="AB14" s="528"/>
      <c r="AC14" s="528"/>
      <c r="AD14" s="528"/>
      <c r="AE14" s="528"/>
      <c r="AF14" s="528"/>
      <c r="AG14" s="528"/>
      <c r="AH14" s="528"/>
      <c r="AI14" s="528"/>
      <c r="AJ14" s="528"/>
      <c r="AK14" s="528"/>
      <c r="AL14" s="528"/>
    </row>
    <row r="15" spans="1:38" s="1950" customFormat="1" ht="15" customHeight="1">
      <c r="A15" s="211"/>
      <c r="B15" s="211"/>
      <c r="C15" s="104"/>
      <c r="D15" s="2032"/>
      <c r="E15" s="2035"/>
      <c r="F15" s="2031"/>
      <c r="G15" s="947"/>
      <c r="H15" s="948"/>
      <c r="I15" s="507" t="s">
        <v>121</v>
      </c>
      <c r="J15" s="105"/>
      <c r="K15" s="105"/>
      <c r="L15" s="105"/>
      <c r="M15" s="530"/>
      <c r="N15" s="717"/>
      <c r="O15" s="1286"/>
      <c r="P15" s="1283"/>
      <c r="Q15" s="1283"/>
      <c r="R15" s="1283"/>
      <c r="S15" s="1286"/>
      <c r="T15" s="1286"/>
      <c r="U15" s="1148"/>
      <c r="V15" s="1148"/>
      <c r="W15" s="1148"/>
      <c r="X15" s="1148"/>
      <c r="Y15" s="528"/>
      <c r="Z15" s="528"/>
      <c r="AA15" s="528"/>
      <c r="AB15" s="528"/>
      <c r="AC15" s="528"/>
      <c r="AD15" s="528"/>
      <c r="AE15" s="528"/>
      <c r="AF15" s="528"/>
      <c r="AG15" s="528"/>
      <c r="AH15" s="528"/>
      <c r="AI15" s="528"/>
      <c r="AJ15" s="528"/>
      <c r="AK15" s="528"/>
      <c r="AL15" s="528"/>
    </row>
    <row r="16" spans="1:38" ht="15" customHeight="1">
      <c r="A16" s="531"/>
      <c r="B16" s="66"/>
      <c r="C16" s="712"/>
      <c r="D16" s="355"/>
      <c r="E16" s="498" t="s">
        <v>122</v>
      </c>
      <c r="F16" s="105"/>
      <c r="G16" s="105"/>
      <c r="H16" s="105"/>
      <c r="I16" s="105"/>
      <c r="J16" s="105"/>
      <c r="K16" s="105" t="s">
        <v>17</v>
      </c>
      <c r="L16" s="105"/>
      <c r="M16" s="530"/>
      <c r="N16" s="1488"/>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scale="90"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322"/>
  <sheetViews>
    <sheetView showGridLines="0" tabSelected="1" zoomScale="90" workbookViewId="0">
      <pane xSplit="8" ySplit="31" topLeftCell="I122" activePane="bottomRight" state="frozen"/>
      <selection pane="topRight" activeCell="I1" sqref="I1"/>
      <selection pane="bottomLeft" activeCell="A32" sqref="A32"/>
      <selection pane="bottomRight" activeCell="E21" sqref="E21:I21"/>
    </sheetView>
  </sheetViews>
  <sheetFormatPr defaultColWidth="9.140625" defaultRowHeight="11.25" customHeight="1"/>
  <cols>
    <col min="1" max="1" width="10.7109375" style="1717" hidden="1" customWidth="1"/>
    <col min="2" max="2" width="16.85546875" style="1759" hidden="1" customWidth="1"/>
    <col min="3" max="3" width="5.5703125" style="1772" hidden="1" customWidth="1"/>
    <col min="4" max="4" width="3.7109375" style="1846" customWidth="1"/>
    <col min="5" max="5" width="7.7109375" style="1846" customWidth="1"/>
    <col min="6" max="6" width="54.5703125" style="1846" customWidth="1"/>
    <col min="7" max="7" width="10.42578125" style="1846" customWidth="1"/>
    <col min="8" max="8" width="40.7109375" style="1846" hidden="1" customWidth="1"/>
    <col min="9" max="9" width="40.7109375" style="1846" customWidth="1"/>
    <col min="10" max="10" width="51.42578125" style="1846" customWidth="1"/>
    <col min="11" max="11" width="9.7109375" style="1759" customWidth="1"/>
    <col min="12" max="12" width="5.28515625" style="1772" customWidth="1"/>
    <col min="13" max="13" width="3.7109375" style="1772" customWidth="1"/>
    <col min="14" max="17" width="3.7109375" style="1759" customWidth="1"/>
    <col min="18" max="18" width="10.5703125" style="1772" customWidth="1"/>
    <col min="19" max="19" width="34.7109375" style="1759" customWidth="1"/>
    <col min="20" max="20" width="9.42578125" style="1759" customWidth="1"/>
    <col min="21" max="21" width="9.140625" style="1723"/>
    <col min="22" max="26" width="9.140625" style="1759"/>
    <col min="27" max="31" width="9.140625" style="1741"/>
  </cols>
  <sheetData>
    <row r="1" spans="1:31" ht="11.25" hidden="1" customHeight="1"/>
    <row r="2" spans="1:31" ht="23.25" hidden="1" customHeight="1">
      <c r="B2" s="2006"/>
      <c r="C2" s="1043" t="s">
        <v>1712</v>
      </c>
      <c r="D2" s="1499"/>
      <c r="E2" s="473">
        <f>B2</f>
        <v>0</v>
      </c>
      <c r="F2" s="474"/>
      <c r="G2" s="1506" t="s">
        <v>1432</v>
      </c>
      <c r="H2" s="1506" t="s">
        <v>1432</v>
      </c>
      <c r="I2" s="1506" t="s">
        <v>1432</v>
      </c>
      <c r="J2" s="207" t="s">
        <v>1713</v>
      </c>
      <c r="K2" s="470"/>
    </row>
    <row r="3" spans="1:31" s="1772" customFormat="1" ht="0.75" hidden="1" customHeight="1">
      <c r="B3" s="2006"/>
      <c r="C3" s="1043"/>
      <c r="D3" s="475"/>
      <c r="E3" s="476"/>
      <c r="F3" s="477" t="s">
        <v>1714</v>
      </c>
      <c r="G3" s="478"/>
      <c r="H3" s="478">
        <f>H4*H5+H7</f>
        <v>0</v>
      </c>
      <c r="I3" s="478">
        <f>I4*I5+I6</f>
        <v>0</v>
      </c>
      <c r="J3" s="479"/>
    </row>
    <row r="4" spans="1:31" ht="23.25" hidden="1" customHeight="1">
      <c r="B4" s="2006"/>
      <c r="C4" s="1043"/>
      <c r="D4" s="1499"/>
      <c r="E4" s="473" t="str">
        <f>B2&amp;".1"</f>
        <v>.1</v>
      </c>
      <c r="F4" s="480" t="s">
        <v>1715</v>
      </c>
      <c r="G4" s="481"/>
      <c r="H4" s="468"/>
      <c r="I4" s="468"/>
      <c r="J4" s="207" t="s">
        <v>1716</v>
      </c>
      <c r="K4" s="470"/>
    </row>
    <row r="5" spans="1:31" ht="18.75" hidden="1" customHeight="1">
      <c r="B5" s="2006"/>
      <c r="C5" s="1043"/>
      <c r="D5" s="1499"/>
      <c r="E5" s="473" t="str">
        <f>B2&amp;".2"</f>
        <v>.2</v>
      </c>
      <c r="F5" s="480" t="s">
        <v>1717</v>
      </c>
      <c r="G5" s="1506" t="s">
        <v>1718</v>
      </c>
      <c r="H5" s="468"/>
      <c r="I5" s="468"/>
      <c r="J5" s="207"/>
      <c r="K5" s="470"/>
    </row>
    <row r="6" spans="1:31" ht="18.75" hidden="1" customHeight="1">
      <c r="B6" s="2006"/>
      <c r="C6" s="1043"/>
      <c r="D6" s="1499"/>
      <c r="E6" s="473" t="str">
        <f>B2&amp;".3"</f>
        <v>.3</v>
      </c>
      <c r="F6" s="480" t="s">
        <v>1719</v>
      </c>
      <c r="G6" s="1506" t="s">
        <v>1718</v>
      </c>
      <c r="H6" s="468"/>
      <c r="I6" s="468"/>
      <c r="J6" s="207"/>
      <c r="K6" s="470"/>
    </row>
    <row r="7" spans="1:31" ht="18.75" hidden="1" customHeight="1">
      <c r="B7" s="2006"/>
      <c r="C7" s="1043"/>
      <c r="D7" s="1499"/>
      <c r="E7" s="473" t="str">
        <f>B2&amp;".4"</f>
        <v>.4</v>
      </c>
      <c r="F7" s="480" t="s">
        <v>1720</v>
      </c>
      <c r="G7" s="1506" t="s">
        <v>1432</v>
      </c>
      <c r="H7" s="482"/>
      <c r="I7" s="482"/>
      <c r="J7" s="207"/>
      <c r="K7" s="470"/>
    </row>
    <row r="8" spans="1:31" s="1759" customFormat="1" ht="11.25" hidden="1" customHeight="1">
      <c r="A8" s="880"/>
      <c r="C8" s="1497"/>
      <c r="D8" s="464"/>
      <c r="H8" s="1036">
        <v>4</v>
      </c>
      <c r="I8" s="1036">
        <v>4</v>
      </c>
      <c r="L8" s="1497"/>
      <c r="M8" s="1497"/>
      <c r="R8" s="1497"/>
    </row>
    <row r="9" spans="1:31" s="1759" customFormat="1" ht="22.5" hidden="1" customHeight="1">
      <c r="A9" s="880"/>
      <c r="C9" s="1497"/>
      <c r="D9" s="465"/>
      <c r="E9" s="1508"/>
      <c r="F9" s="467"/>
      <c r="G9" s="1506" t="s">
        <v>1718</v>
      </c>
      <c r="H9" s="468"/>
      <c r="I9" s="468"/>
      <c r="J9" s="469" t="s">
        <v>1721</v>
      </c>
      <c r="K9" s="470"/>
      <c r="L9" s="1497"/>
      <c r="M9" s="1497"/>
      <c r="R9" s="1497"/>
      <c r="U9" s="471"/>
      <c r="AA9" s="1493"/>
      <c r="AB9" s="1493"/>
      <c r="AC9" s="1493"/>
      <c r="AD9" s="1493"/>
      <c r="AE9" s="1493"/>
    </row>
    <row r="10" spans="1:31" ht="11.25" hidden="1" customHeight="1"/>
    <row r="11" spans="1:31" ht="18.75" hidden="1" customHeight="1">
      <c r="D11" s="1499"/>
      <c r="E11" s="473"/>
      <c r="F11" s="467"/>
      <c r="G11" s="1506" t="s">
        <v>801</v>
      </c>
      <c r="H11" s="468"/>
      <c r="I11" s="468"/>
      <c r="J11" s="207" t="s">
        <v>1722</v>
      </c>
      <c r="K11" s="470"/>
    </row>
    <row r="12" spans="1:31" ht="11.25" hidden="1" customHeight="1"/>
    <row r="13" spans="1:31" ht="22.5" hidden="1" customHeight="1">
      <c r="D13" s="1499"/>
      <c r="E13" s="473"/>
      <c r="F13" s="467"/>
      <c r="G13" s="863" t="s">
        <v>1618</v>
      </c>
      <c r="H13" s="472"/>
      <c r="I13" s="472"/>
      <c r="J13" s="659" t="s">
        <v>1723</v>
      </c>
      <c r="K13" s="470"/>
    </row>
    <row r="14" spans="1:31" ht="11.25" hidden="1" customHeight="1"/>
    <row r="15" spans="1:31" ht="22.5" hidden="1" customHeight="1">
      <c r="D15" s="1499"/>
      <c r="E15" s="473"/>
      <c r="F15" s="467"/>
      <c r="G15" s="1506" t="s">
        <v>1724</v>
      </c>
      <c r="H15" s="472"/>
      <c r="I15" s="472"/>
      <c r="J15" s="207" t="s">
        <v>1725</v>
      </c>
      <c r="K15" s="470"/>
    </row>
    <row r="16" spans="1:31" ht="11.25" hidden="1" customHeight="1"/>
    <row r="17" spans="1:26" ht="22.5" hidden="1" customHeight="1">
      <c r="D17" s="1499"/>
      <c r="E17" s="473"/>
      <c r="F17" s="467"/>
      <c r="G17" s="1506" t="s">
        <v>1726</v>
      </c>
      <c r="H17" s="472"/>
      <c r="I17" s="472"/>
      <c r="J17" s="207" t="s">
        <v>1727</v>
      </c>
      <c r="K17" s="470"/>
    </row>
    <row r="18" spans="1:26" ht="11.25" hidden="1" customHeight="1"/>
    <row r="19" spans="1:26" s="1741" customFormat="1" ht="11.25" hidden="1" customHeight="1">
      <c r="A19" s="880"/>
      <c r="B19" s="1036"/>
      <c r="C19" s="1497"/>
      <c r="D19" s="288"/>
      <c r="J19" s="1493">
        <v>4</v>
      </c>
      <c r="K19" s="1036"/>
      <c r="L19" s="1497"/>
      <c r="M19" s="1497"/>
      <c r="N19" s="1036"/>
      <c r="O19" s="1036"/>
      <c r="P19" s="1036"/>
      <c r="Q19" s="1036"/>
      <c r="R19" s="1497"/>
      <c r="S19" s="1036"/>
      <c r="T19" s="1036"/>
      <c r="U19" s="471"/>
      <c r="V19" s="1036"/>
      <c r="W19" s="1036"/>
      <c r="X19" s="1036"/>
      <c r="Y19" s="1036"/>
      <c r="Z19" s="1036"/>
    </row>
    <row r="21" spans="1:26" ht="54.75" customHeight="1">
      <c r="E21" s="2014" t="str">
        <f>FHD_NAME_FORM</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F21" s="2015"/>
      <c r="G21" s="2015"/>
      <c r="H21" s="2015"/>
      <c r="I21" s="2016"/>
      <c r="J21" s="483"/>
    </row>
    <row r="22" spans="1:26" ht="15.75" customHeight="1">
      <c r="E22" s="2126" t="str">
        <f>IF(org=0,"Не определено",org)</f>
        <v>ООО "Автозаводская ТЭЦ"</v>
      </c>
      <c r="F22" s="2127"/>
      <c r="G22" s="2127"/>
      <c r="H22" s="2127"/>
      <c r="I22" s="2128"/>
    </row>
    <row r="23" spans="1:26" ht="11.25" customHeight="1">
      <c r="E23" s="1014"/>
      <c r="F23" s="1014"/>
      <c r="G23" s="1014"/>
      <c r="H23" s="1014"/>
      <c r="I23" s="1014"/>
    </row>
    <row r="24" spans="1:26" s="1772" customFormat="1" ht="0.75" customHeight="1">
      <c r="A24" s="1043"/>
      <c r="D24" s="1502"/>
      <c r="H24" s="786"/>
      <c r="I24" s="786" t="s">
        <v>117</v>
      </c>
    </row>
    <row r="25" spans="1:26" ht="11.25" customHeight="1">
      <c r="E25" s="625"/>
      <c r="F25" s="2309" t="s">
        <v>105</v>
      </c>
      <c r="G25" s="2310"/>
      <c r="H25" s="1512" t="str">
        <f>IF(H24="","",INDEX(DIFFERENTIATION_UNMERGE_VD,MATCH(H24,DIFFERENTIATION_ID_DIFF,0)))</f>
        <v/>
      </c>
      <c r="I25" s="1512"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v>
      </c>
      <c r="J25" s="2021"/>
    </row>
    <row r="26" spans="1:26" ht="11.25" customHeight="1">
      <c r="E26" s="625"/>
      <c r="F26" s="2309" t="s">
        <v>1420</v>
      </c>
      <c r="G26" s="2310"/>
      <c r="H26" s="1512" t="str">
        <f>IF(H24="","",INDEX(DIFFERENTIATION_UNMERGE_AREA,MATCH(H24,DIFFERENTIATION_ID_DIFF,0)))</f>
        <v/>
      </c>
      <c r="I26" s="1512" t="str">
        <f>IF(I24="","",INDEX(DIFFERENTIATION_UNMERGE_AREA,MATCH(I24,DIFFERENTIATION_ID_DIFF,0)))</f>
        <v>Территория 1</v>
      </c>
      <c r="J26" s="2021"/>
    </row>
    <row r="27" spans="1:26" ht="11.25" customHeight="1">
      <c r="E27" s="625"/>
      <c r="F27" s="2309" t="s">
        <v>1421</v>
      </c>
      <c r="G27" s="2310"/>
      <c r="H27" s="1512" t="str">
        <f>IF(H24="","",INDEX(DIFFERENTIATION_UNMERGE_SYSTEM,MATCH(H24,DIFFERENTIATION_ID_DIFF,0)))</f>
        <v/>
      </c>
      <c r="I27" s="1512" t="str">
        <f>IF(I24="","",INDEX(DIFFERENTIATION_UNMERGE_SYSTEM,MATCH(I24,DIFFERENTIATION_ID_DIFF,0)))</f>
        <v>без дифференциации</v>
      </c>
      <c r="J27" s="2021"/>
    </row>
    <row r="28" spans="1:26" ht="11.25" customHeight="1">
      <c r="E28" s="2311" t="s">
        <v>292</v>
      </c>
      <c r="F28" s="2312"/>
      <c r="G28" s="2312"/>
      <c r="H28" s="1505"/>
      <c r="I28" s="1505"/>
      <c r="J28" s="2021"/>
    </row>
    <row r="29" spans="1:26" ht="22.5" customHeight="1">
      <c r="E29" s="1506" t="s">
        <v>88</v>
      </c>
      <c r="F29" s="1513" t="s">
        <v>294</v>
      </c>
      <c r="G29" s="1513" t="s">
        <v>1599</v>
      </c>
      <c r="H29" s="1513" t="s">
        <v>295</v>
      </c>
      <c r="I29" s="1513" t="s">
        <v>295</v>
      </c>
      <c r="J29" s="2021"/>
    </row>
    <row r="30" spans="1:26" ht="24" customHeight="1">
      <c r="D30" s="1499"/>
      <c r="E30" s="473">
        <f>FHD_NUM_P_1</f>
        <v>1</v>
      </c>
      <c r="F30" s="621" t="str">
        <f>FHD_P_1</f>
        <v>Выручка от регулируемого вида деятельности с распределением по видам деятельности</v>
      </c>
      <c r="G30" s="1506" t="s">
        <v>1718</v>
      </c>
      <c r="H30" s="484"/>
      <c r="I30" s="484">
        <v>5689158.6799999997</v>
      </c>
      <c r="J30" s="207" t="str">
        <f>FHD_NOTE_P_1</f>
        <v>Указывается выручка от регулируемого вида деятельности с распределением по видам деятельности.</v>
      </c>
      <c r="K30" s="470"/>
    </row>
    <row r="31" spans="1:26" ht="24" customHeight="1">
      <c r="D31" s="1499"/>
      <c r="E31" s="473">
        <f>FHD_NUM_P_2</f>
        <v>2</v>
      </c>
      <c r="F31" s="621" t="str">
        <f>FHD_P_2</f>
        <v>Себестоимость производимых товаров (оказываемых услуг) по регулируемому виду деятельности, включая:</v>
      </c>
      <c r="G31" s="1506" t="s">
        <v>1718</v>
      </c>
      <c r="H31" s="485">
        <f>SUMIF($K33:$K85,$K31,H33:H85)</f>
        <v>0</v>
      </c>
      <c r="I31" s="485">
        <f>SUMIF($K33:$K85,$K31,I33:I85)</f>
        <v>5606927.3251668857</v>
      </c>
      <c r="J31" s="207" t="str">
        <f>FHD_NOTE_P_2</f>
        <v>Указывается суммарная себестоимость производимых товаров.</v>
      </c>
      <c r="K31" s="1497" t="s">
        <v>1728</v>
      </c>
    </row>
    <row r="32" spans="1:26" ht="24" customHeight="1">
      <c r="D32" s="1499"/>
      <c r="E32" s="473" t="str">
        <f>FHD_NUM_P_3</f>
        <v>2.1</v>
      </c>
      <c r="F32" s="849" t="str">
        <f>FHD_P_3</f>
        <v>Расходы на приобретаемую тепловую энергию (мощность), теплоноситель</v>
      </c>
      <c r="G32" s="1506" t="s">
        <v>1718</v>
      </c>
      <c r="H32" s="484"/>
      <c r="I32" s="484">
        <v>501250.33</v>
      </c>
      <c r="J32" s="207" t="str">
        <f>FHD_NOTE_P_3</f>
        <v/>
      </c>
      <c r="K32" s="1497" t="str">
        <f t="shared" ref="K32:K39" si="0">IF((LEN(E32)-LEN(SUBSTITUTE(E32,".","")))/LEN(".")=1,"p","")</f>
        <v>p</v>
      </c>
    </row>
    <row r="33" spans="1:31" ht="35.25" customHeight="1">
      <c r="A33" s="2343" t="s">
        <v>1729</v>
      </c>
      <c r="D33" s="1499"/>
      <c r="E33" s="473" t="str">
        <f>FHD_NUM_P_4</f>
        <v>2.2</v>
      </c>
      <c r="F33" s="849"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506" t="s">
        <v>1718</v>
      </c>
      <c r="H33" s="485">
        <f>SUMIF($F34:$F52,$F3,H34:H52)</f>
        <v>0</v>
      </c>
      <c r="I33" s="485">
        <f>SUMIF($F34:$F52,$F3,I34:I52)</f>
        <v>2121112.5051668854</v>
      </c>
      <c r="J33" s="207" t="str">
        <f>FHD_NOTE_P_4</f>
        <v>Указываются суммарные расходы на приобретение топлива всех видов.</v>
      </c>
      <c r="K33" s="1497" t="str">
        <f t="shared" si="0"/>
        <v>p</v>
      </c>
    </row>
    <row r="34" spans="1:31" s="1720" customFormat="1" ht="0.75" customHeight="1">
      <c r="A34" s="2343"/>
      <c r="B34" s="2346" t="str">
        <f>E33&amp;".0"</f>
        <v>2.2.0</v>
      </c>
      <c r="C34" s="1043"/>
      <c r="D34" s="487"/>
      <c r="E34" s="488"/>
      <c r="F34" s="489"/>
      <c r="G34" s="490"/>
      <c r="H34" s="425"/>
      <c r="I34" s="425"/>
      <c r="J34" s="491"/>
      <c r="K34" s="1497" t="str">
        <f t="shared" si="0"/>
        <v/>
      </c>
      <c r="L34" s="1497"/>
      <c r="M34" s="1497"/>
      <c r="N34" s="1497"/>
      <c r="O34" s="1497"/>
      <c r="P34" s="1497"/>
      <c r="Q34" s="1497"/>
      <c r="R34" s="1497"/>
      <c r="S34" s="1497"/>
      <c r="T34" s="1497"/>
      <c r="U34" s="492"/>
      <c r="V34" s="1497"/>
      <c r="W34" s="1497"/>
      <c r="X34" s="1497"/>
      <c r="Y34" s="1497"/>
      <c r="Z34" s="1497"/>
      <c r="AA34" s="493"/>
      <c r="AB34" s="493"/>
      <c r="AC34" s="493"/>
      <c r="AD34" s="493"/>
      <c r="AE34" s="493"/>
    </row>
    <row r="35" spans="1:31" s="1720" customFormat="1" ht="0.75" customHeight="1">
      <c r="A35" s="2343"/>
      <c r="B35" s="2346"/>
      <c r="C35" s="1043"/>
      <c r="D35" s="487"/>
      <c r="E35" s="494"/>
      <c r="F35" s="495"/>
      <c r="G35" s="490"/>
      <c r="H35" s="496"/>
      <c r="I35" s="496"/>
      <c r="J35" s="491"/>
      <c r="K35" s="1497" t="str">
        <f t="shared" si="0"/>
        <v/>
      </c>
      <c r="L35" s="1497"/>
      <c r="M35" s="1497"/>
      <c r="N35" s="1497"/>
      <c r="O35" s="1497"/>
      <c r="P35" s="1497"/>
      <c r="Q35" s="1497"/>
      <c r="R35" s="1497"/>
      <c r="S35" s="1497"/>
      <c r="T35" s="1497"/>
      <c r="U35" s="492"/>
      <c r="V35" s="1497"/>
      <c r="W35" s="1497"/>
      <c r="X35" s="1497"/>
      <c r="Y35" s="1497"/>
      <c r="Z35" s="1497"/>
      <c r="AA35" s="493"/>
      <c r="AB35" s="493"/>
      <c r="AC35" s="493"/>
      <c r="AD35" s="493"/>
      <c r="AE35" s="493"/>
    </row>
    <row r="36" spans="1:31" s="1720" customFormat="1" ht="0.75" customHeight="1">
      <c r="A36" s="2343"/>
      <c r="B36" s="2346"/>
      <c r="C36" s="1043"/>
      <c r="D36" s="487"/>
      <c r="E36" s="494"/>
      <c r="F36" s="495"/>
      <c r="G36" s="490"/>
      <c r="H36" s="496"/>
      <c r="I36" s="496"/>
      <c r="J36" s="491"/>
      <c r="K36" s="1497" t="str">
        <f t="shared" si="0"/>
        <v/>
      </c>
      <c r="L36" s="1497"/>
      <c r="M36" s="1497"/>
      <c r="N36" s="1497"/>
      <c r="O36" s="1497"/>
      <c r="P36" s="1497"/>
      <c r="Q36" s="1497"/>
      <c r="R36" s="1497"/>
      <c r="S36" s="1497"/>
      <c r="T36" s="1497"/>
      <c r="U36" s="492"/>
      <c r="V36" s="1497"/>
      <c r="W36" s="1497"/>
      <c r="X36" s="1497"/>
      <c r="Y36" s="1497"/>
      <c r="Z36" s="1497"/>
      <c r="AA36" s="493"/>
      <c r="AB36" s="493"/>
      <c r="AC36" s="493"/>
      <c r="AD36" s="493"/>
      <c r="AE36" s="493"/>
    </row>
    <row r="37" spans="1:31" s="1720" customFormat="1" ht="0.75" customHeight="1">
      <c r="A37" s="2343"/>
      <c r="B37" s="2346"/>
      <c r="C37" s="1043"/>
      <c r="D37" s="487"/>
      <c r="E37" s="494"/>
      <c r="F37" s="495"/>
      <c r="G37" s="490"/>
      <c r="H37" s="496"/>
      <c r="I37" s="496"/>
      <c r="J37" s="491"/>
      <c r="K37" s="1497" t="str">
        <f t="shared" si="0"/>
        <v/>
      </c>
      <c r="L37" s="1497"/>
      <c r="M37" s="1497"/>
      <c r="N37" s="1497"/>
      <c r="O37" s="1497"/>
      <c r="P37" s="1497"/>
      <c r="Q37" s="1497"/>
      <c r="R37" s="1497"/>
      <c r="S37" s="1497"/>
      <c r="T37" s="1497"/>
      <c r="U37" s="492"/>
      <c r="V37" s="1497"/>
      <c r="W37" s="1497"/>
      <c r="X37" s="1497"/>
      <c r="Y37" s="1497"/>
      <c r="Z37" s="1497"/>
      <c r="AA37" s="493"/>
      <c r="AB37" s="493"/>
      <c r="AC37" s="493"/>
      <c r="AD37" s="493"/>
      <c r="AE37" s="493"/>
    </row>
    <row r="38" spans="1:31" s="1720" customFormat="1" ht="0.75" customHeight="1">
      <c r="A38" s="2343"/>
      <c r="B38" s="2346"/>
      <c r="C38" s="1043"/>
      <c r="D38" s="487"/>
      <c r="E38" s="494"/>
      <c r="F38" s="495"/>
      <c r="G38" s="490"/>
      <c r="H38" s="496"/>
      <c r="I38" s="496"/>
      <c r="J38" s="491"/>
      <c r="K38" s="1497" t="str">
        <f t="shared" si="0"/>
        <v/>
      </c>
      <c r="L38" s="1497"/>
      <c r="M38" s="1497"/>
      <c r="N38" s="1497"/>
      <c r="O38" s="1497"/>
      <c r="P38" s="1497"/>
      <c r="Q38" s="1497"/>
      <c r="R38" s="1497"/>
      <c r="S38" s="1497"/>
      <c r="T38" s="1497"/>
      <c r="U38" s="492"/>
      <c r="V38" s="1497"/>
      <c r="W38" s="1497"/>
      <c r="X38" s="1497"/>
      <c r="Y38" s="1497"/>
      <c r="Z38" s="1497"/>
      <c r="AA38" s="493"/>
      <c r="AB38" s="493"/>
      <c r="AC38" s="493"/>
      <c r="AD38" s="493"/>
      <c r="AE38" s="493"/>
    </row>
    <row r="39" spans="1:31" s="1720" customFormat="1" ht="0.75" customHeight="1">
      <c r="A39" s="2343"/>
      <c r="B39" s="2346"/>
      <c r="C39" s="1043"/>
      <c r="D39" s="487"/>
      <c r="E39" s="494"/>
      <c r="F39" s="495"/>
      <c r="G39" s="490"/>
      <c r="H39" s="425"/>
      <c r="I39" s="425"/>
      <c r="J39" s="491"/>
      <c r="K39" s="1497" t="str">
        <f t="shared" si="0"/>
        <v/>
      </c>
      <c r="L39" s="1497"/>
      <c r="M39" s="1497"/>
      <c r="N39" s="1497"/>
      <c r="O39" s="1497"/>
      <c r="P39" s="1497"/>
      <c r="Q39" s="1497"/>
      <c r="R39" s="1497"/>
      <c r="S39" s="1497"/>
      <c r="T39" s="1497"/>
      <c r="U39" s="492"/>
      <c r="V39" s="1497"/>
      <c r="W39" s="1497"/>
      <c r="X39" s="1497"/>
      <c r="Y39" s="1497"/>
      <c r="Z39" s="1497"/>
      <c r="AA39" s="493"/>
      <c r="AB39" s="493"/>
      <c r="AC39" s="493"/>
      <c r="AD39" s="493"/>
      <c r="AE39" s="493"/>
    </row>
    <row r="40" spans="1:31" s="1753" customFormat="1" ht="23.25" customHeight="1">
      <c r="A40" s="2344"/>
      <c r="B40" s="2006" t="str">
        <f>E33&amp;".1"</f>
        <v>2.2.1</v>
      </c>
      <c r="C40" s="1836" t="s">
        <v>1712</v>
      </c>
      <c r="D40" s="1704" t="s">
        <v>1109</v>
      </c>
      <c r="E40" s="1708" t="str">
        <f>B40</f>
        <v>2.2.1</v>
      </c>
      <c r="F40" s="1709" t="s">
        <v>793</v>
      </c>
      <c r="G40" s="1761" t="s">
        <v>1432</v>
      </c>
      <c r="H40" s="1761" t="s">
        <v>1432</v>
      </c>
      <c r="I40" s="1761" t="s">
        <v>1432</v>
      </c>
      <c r="J40" s="1912" t="s">
        <v>1713</v>
      </c>
      <c r="K40" s="1722"/>
      <c r="L40" s="1772"/>
      <c r="M40" s="1772"/>
      <c r="N40" s="1759"/>
      <c r="O40" s="1759"/>
      <c r="P40" s="1759"/>
      <c r="Q40" s="1759"/>
      <c r="R40" s="1772"/>
      <c r="S40" s="1759"/>
      <c r="T40" s="1759"/>
      <c r="U40" s="1723"/>
      <c r="V40" s="1759"/>
      <c r="W40" s="1759"/>
      <c r="X40" s="1759"/>
      <c r="Y40" s="1759"/>
      <c r="Z40" s="1759"/>
      <c r="AA40" s="1741"/>
      <c r="AB40" s="1741"/>
      <c r="AC40" s="1741"/>
      <c r="AD40" s="1741"/>
      <c r="AE40" s="1741"/>
    </row>
    <row r="41" spans="1:31" s="1724" customFormat="1" ht="0.75" hidden="1" customHeight="1">
      <c r="A41" s="2345"/>
      <c r="B41" s="2006" t="str">
        <f>E33&amp;".0"</f>
        <v>2.2.0</v>
      </c>
      <c r="C41" s="1836"/>
      <c r="D41" s="1836"/>
      <c r="E41" s="1710"/>
      <c r="F41" s="1711" t="s">
        <v>1714</v>
      </c>
      <c r="G41" s="1712"/>
      <c r="H41" s="1712">
        <f>H42*H43+H45</f>
        <v>0</v>
      </c>
      <c r="I41" s="1712">
        <f>I42*I43+I44</f>
        <v>2120218.7424318055</v>
      </c>
      <c r="J41" s="1897"/>
      <c r="K41" s="1772"/>
      <c r="L41" s="1772"/>
      <c r="M41" s="1772"/>
      <c r="N41" s="1772"/>
      <c r="O41" s="1772"/>
      <c r="P41" s="1772"/>
      <c r="Q41" s="1772"/>
      <c r="R41" s="1772"/>
      <c r="S41" s="1772"/>
      <c r="T41" s="1772"/>
      <c r="U41" s="1772"/>
      <c r="V41" s="1772"/>
      <c r="W41" s="1772"/>
      <c r="X41" s="1772"/>
      <c r="Y41" s="1772"/>
      <c r="Z41" s="1772"/>
      <c r="AA41" s="1772"/>
      <c r="AB41" s="1772"/>
      <c r="AC41" s="1772"/>
      <c r="AD41" s="1772"/>
      <c r="AE41" s="1772"/>
    </row>
    <row r="42" spans="1:31" s="1753" customFormat="1" ht="23.25" customHeight="1">
      <c r="A42" s="2344"/>
      <c r="B42" s="2006" t="str">
        <f>E33&amp;".0"</f>
        <v>2.2.0</v>
      </c>
      <c r="C42" s="1836"/>
      <c r="D42" s="1952"/>
      <c r="E42" s="1708" t="str">
        <f>B40&amp;".1"</f>
        <v>2.2.1.1</v>
      </c>
      <c r="F42" s="1713" t="s">
        <v>1715</v>
      </c>
      <c r="G42" s="1714" t="s">
        <v>794</v>
      </c>
      <c r="H42" s="1715"/>
      <c r="I42" s="1715">
        <v>373687.18567400001</v>
      </c>
      <c r="J42" s="1912" t="s">
        <v>1716</v>
      </c>
      <c r="K42" s="1722"/>
      <c r="L42" s="1772"/>
      <c r="M42" s="1772"/>
      <c r="N42" s="1759"/>
      <c r="O42" s="1759"/>
      <c r="P42" s="1759"/>
      <c r="Q42" s="1759"/>
      <c r="R42" s="1772"/>
      <c r="S42" s="1759"/>
      <c r="T42" s="1759"/>
      <c r="U42" s="1723"/>
      <c r="V42" s="1759"/>
      <c r="W42" s="1759"/>
      <c r="X42" s="1759"/>
      <c r="Y42" s="1759"/>
      <c r="Z42" s="1759"/>
      <c r="AA42" s="1741"/>
      <c r="AB42" s="1741"/>
      <c r="AC42" s="1741"/>
      <c r="AD42" s="1741"/>
      <c r="AE42" s="1741"/>
    </row>
    <row r="43" spans="1:31" s="1753" customFormat="1" ht="18.75" customHeight="1">
      <c r="A43" s="2344"/>
      <c r="B43" s="2006" t="str">
        <f>E33&amp;".0"</f>
        <v>2.2.0</v>
      </c>
      <c r="C43" s="1836"/>
      <c r="D43" s="1952"/>
      <c r="E43" s="1708" t="str">
        <f>B40&amp;".2"</f>
        <v>2.2.1.2</v>
      </c>
      <c r="F43" s="1713" t="s">
        <v>1717</v>
      </c>
      <c r="G43" s="1761" t="s">
        <v>1718</v>
      </c>
      <c r="H43" s="1715"/>
      <c r="I43" s="1715">
        <v>5.5489187800000002</v>
      </c>
      <c r="J43" s="1912"/>
      <c r="K43" s="1722"/>
      <c r="L43" s="1772"/>
      <c r="M43" s="1772"/>
      <c r="N43" s="1759"/>
      <c r="O43" s="1759"/>
      <c r="P43" s="1759"/>
      <c r="Q43" s="1759"/>
      <c r="R43" s="1772"/>
      <c r="S43" s="1759"/>
      <c r="T43" s="1759"/>
      <c r="U43" s="1723"/>
      <c r="V43" s="1759"/>
      <c r="W43" s="1759"/>
      <c r="X43" s="1759"/>
      <c r="Y43" s="1759"/>
      <c r="Z43" s="1759"/>
      <c r="AA43" s="1741"/>
      <c r="AB43" s="1741"/>
      <c r="AC43" s="1741"/>
      <c r="AD43" s="1741"/>
      <c r="AE43" s="1741"/>
    </row>
    <row r="44" spans="1:31" s="1753" customFormat="1" ht="18.75" customHeight="1">
      <c r="A44" s="2344"/>
      <c r="B44" s="2006" t="str">
        <f>E33&amp;".0"</f>
        <v>2.2.0</v>
      </c>
      <c r="C44" s="1836"/>
      <c r="D44" s="1952"/>
      <c r="E44" s="1708" t="str">
        <f>B40&amp;".3"</f>
        <v>2.2.1.3</v>
      </c>
      <c r="F44" s="1713" t="s">
        <v>1719</v>
      </c>
      <c r="G44" s="1761" t="s">
        <v>1718</v>
      </c>
      <c r="H44" s="1715"/>
      <c r="I44" s="1715">
        <v>46658.9</v>
      </c>
      <c r="J44" s="1912"/>
      <c r="K44" s="1722"/>
      <c r="L44" s="1772"/>
      <c r="M44" s="1772"/>
      <c r="N44" s="1759"/>
      <c r="O44" s="1759"/>
      <c r="P44" s="1759"/>
      <c r="Q44" s="1759"/>
      <c r="R44" s="1772"/>
      <c r="S44" s="1759"/>
      <c r="T44" s="1759"/>
      <c r="U44" s="1723"/>
      <c r="V44" s="1759"/>
      <c r="W44" s="1759"/>
      <c r="X44" s="1759"/>
      <c r="Y44" s="1759"/>
      <c r="Z44" s="1759"/>
      <c r="AA44" s="1741"/>
      <c r="AB44" s="1741"/>
      <c r="AC44" s="1741"/>
      <c r="AD44" s="1741"/>
      <c r="AE44" s="1741"/>
    </row>
    <row r="45" spans="1:31" s="1753" customFormat="1" ht="18.75" customHeight="1">
      <c r="A45" s="2344"/>
      <c r="B45" s="2006" t="str">
        <f>E33&amp;".0"</f>
        <v>2.2.0</v>
      </c>
      <c r="C45" s="1836"/>
      <c r="D45" s="1952"/>
      <c r="E45" s="1708" t="str">
        <f>B40&amp;".4"</f>
        <v>2.2.1.4</v>
      </c>
      <c r="F45" s="1713" t="s">
        <v>1720</v>
      </c>
      <c r="G45" s="1761" t="s">
        <v>1432</v>
      </c>
      <c r="H45" s="1716"/>
      <c r="I45" s="1716" t="s">
        <v>990</v>
      </c>
      <c r="J45" s="1912"/>
      <c r="K45" s="1722"/>
      <c r="L45" s="1772"/>
      <c r="M45" s="1772"/>
      <c r="N45" s="1759"/>
      <c r="O45" s="1759"/>
      <c r="P45" s="1759"/>
      <c r="Q45" s="1759"/>
      <c r="R45" s="1772"/>
      <c r="S45" s="1759"/>
      <c r="T45" s="1759"/>
      <c r="U45" s="1723"/>
      <c r="V45" s="1759"/>
      <c r="W45" s="1759"/>
      <c r="X45" s="1759"/>
      <c r="Y45" s="1759"/>
      <c r="Z45" s="1759"/>
      <c r="AA45" s="1741"/>
      <c r="AB45" s="1741"/>
      <c r="AC45" s="1741"/>
      <c r="AD45" s="1741"/>
      <c r="AE45" s="1741"/>
    </row>
    <row r="46" spans="1:31" s="1753" customFormat="1" ht="23.25" customHeight="1">
      <c r="A46" s="2344"/>
      <c r="B46" s="2006" t="str">
        <f>E33&amp;".2"</f>
        <v>2.2.2</v>
      </c>
      <c r="C46" s="1836" t="s">
        <v>1712</v>
      </c>
      <c r="D46" s="1704" t="s">
        <v>1109</v>
      </c>
      <c r="E46" s="1708" t="str">
        <f>B46</f>
        <v>2.2.2</v>
      </c>
      <c r="F46" s="1709" t="s">
        <v>923</v>
      </c>
      <c r="G46" s="1761" t="s">
        <v>1432</v>
      </c>
      <c r="H46" s="1761" t="s">
        <v>1432</v>
      </c>
      <c r="I46" s="1761" t="s">
        <v>1432</v>
      </c>
      <c r="J46" s="1912" t="s">
        <v>1713</v>
      </c>
      <c r="K46" s="1722"/>
      <c r="L46" s="1772"/>
      <c r="M46" s="1772"/>
      <c r="N46" s="1759"/>
      <c r="O46" s="1759"/>
      <c r="P46" s="1759"/>
      <c r="Q46" s="1759"/>
      <c r="R46" s="1772"/>
      <c r="S46" s="1759"/>
      <c r="T46" s="1759"/>
      <c r="U46" s="1723"/>
      <c r="V46" s="1759"/>
      <c r="W46" s="1759"/>
      <c r="X46" s="1759"/>
      <c r="Y46" s="1759"/>
      <c r="Z46" s="1759"/>
      <c r="AA46" s="1741"/>
      <c r="AB46" s="1741"/>
      <c r="AC46" s="1741"/>
      <c r="AD46" s="1741"/>
      <c r="AE46" s="1741"/>
    </row>
    <row r="47" spans="1:31" s="1724" customFormat="1" ht="0.75" hidden="1" customHeight="1">
      <c r="A47" s="2345"/>
      <c r="B47" s="2006" t="str">
        <f>E33&amp;".1"</f>
        <v>2.2.1</v>
      </c>
      <c r="C47" s="1836"/>
      <c r="D47" s="1836"/>
      <c r="E47" s="1710"/>
      <c r="F47" s="1711" t="s">
        <v>1714</v>
      </c>
      <c r="G47" s="1712"/>
      <c r="H47" s="1712">
        <f>H48*H49+H51</f>
        <v>0</v>
      </c>
      <c r="I47" s="1712">
        <f>I48*I49+I50</f>
        <v>893.76273507999997</v>
      </c>
      <c r="J47" s="1897"/>
      <c r="K47" s="1772"/>
      <c r="L47" s="1772"/>
      <c r="M47" s="1772"/>
      <c r="N47" s="1772"/>
      <c r="O47" s="1772"/>
      <c r="P47" s="1772"/>
      <c r="Q47" s="1772"/>
      <c r="R47" s="1772"/>
      <c r="S47" s="1772"/>
      <c r="T47" s="1772"/>
      <c r="U47" s="1772"/>
      <c r="V47" s="1772"/>
      <c r="W47" s="1772"/>
      <c r="X47" s="1772"/>
      <c r="Y47" s="1772"/>
      <c r="Z47" s="1772"/>
      <c r="AA47" s="1772"/>
      <c r="AB47" s="1772"/>
      <c r="AC47" s="1772"/>
      <c r="AD47" s="1772"/>
      <c r="AE47" s="1772"/>
    </row>
    <row r="48" spans="1:31" s="1753" customFormat="1" ht="23.25" customHeight="1">
      <c r="A48" s="2344"/>
      <c r="B48" s="2006" t="str">
        <f>E33&amp;".1"</f>
        <v>2.2.1</v>
      </c>
      <c r="C48" s="1836"/>
      <c r="D48" s="1952"/>
      <c r="E48" s="1708" t="str">
        <f>B46&amp;".1"</f>
        <v>2.2.2.1</v>
      </c>
      <c r="F48" s="1713" t="s">
        <v>1715</v>
      </c>
      <c r="G48" s="1714" t="s">
        <v>886</v>
      </c>
      <c r="H48" s="1715"/>
      <c r="I48" s="1715">
        <v>102.547</v>
      </c>
      <c r="J48" s="1912" t="s">
        <v>1716</v>
      </c>
      <c r="K48" s="1722"/>
      <c r="L48" s="1772"/>
      <c r="M48" s="1772"/>
      <c r="N48" s="1759"/>
      <c r="O48" s="1759"/>
      <c r="P48" s="1759"/>
      <c r="Q48" s="1759"/>
      <c r="R48" s="1772"/>
      <c r="S48" s="1759"/>
      <c r="T48" s="1759"/>
      <c r="U48" s="1723"/>
      <c r="V48" s="1759"/>
      <c r="W48" s="1759"/>
      <c r="X48" s="1759"/>
      <c r="Y48" s="1759"/>
      <c r="Z48" s="1759"/>
      <c r="AA48" s="1741"/>
      <c r="AB48" s="1741"/>
      <c r="AC48" s="1741"/>
      <c r="AD48" s="1741"/>
      <c r="AE48" s="1741"/>
    </row>
    <row r="49" spans="1:31" s="1753" customFormat="1" ht="18.75" customHeight="1">
      <c r="A49" s="2344"/>
      <c r="B49" s="2006" t="str">
        <f>E33&amp;".1"</f>
        <v>2.2.1</v>
      </c>
      <c r="C49" s="1836"/>
      <c r="D49" s="1952"/>
      <c r="E49" s="1708" t="str">
        <f>B46&amp;".2"</f>
        <v>2.2.2.2</v>
      </c>
      <c r="F49" s="1713" t="s">
        <v>1717</v>
      </c>
      <c r="G49" s="1761" t="s">
        <v>1718</v>
      </c>
      <c r="H49" s="1715"/>
      <c r="I49" s="1715">
        <v>8.7156400000000005</v>
      </c>
      <c r="J49" s="1912"/>
      <c r="K49" s="1722"/>
      <c r="L49" s="1772"/>
      <c r="M49" s="1772"/>
      <c r="N49" s="1759"/>
      <c r="O49" s="1759"/>
      <c r="P49" s="1759"/>
      <c r="Q49" s="1759"/>
      <c r="R49" s="1772"/>
      <c r="S49" s="1759"/>
      <c r="T49" s="1759"/>
      <c r="U49" s="1723"/>
      <c r="V49" s="1759"/>
      <c r="W49" s="1759"/>
      <c r="X49" s="1759"/>
      <c r="Y49" s="1759"/>
      <c r="Z49" s="1759"/>
      <c r="AA49" s="1741"/>
      <c r="AB49" s="1741"/>
      <c r="AC49" s="1741"/>
      <c r="AD49" s="1741"/>
      <c r="AE49" s="1741"/>
    </row>
    <row r="50" spans="1:31" s="1753" customFormat="1" ht="18.75" customHeight="1">
      <c r="A50" s="2344"/>
      <c r="B50" s="2006" t="str">
        <f>E33&amp;".1"</f>
        <v>2.2.1</v>
      </c>
      <c r="C50" s="1836"/>
      <c r="D50" s="1952"/>
      <c r="E50" s="1708" t="str">
        <f>B46&amp;".3"</f>
        <v>2.2.2.3</v>
      </c>
      <c r="F50" s="1713" t="s">
        <v>1719</v>
      </c>
      <c r="G50" s="1761" t="s">
        <v>1718</v>
      </c>
      <c r="H50" s="1715"/>
      <c r="I50" s="1715"/>
      <c r="J50" s="1912"/>
      <c r="K50" s="1722"/>
      <c r="L50" s="1772"/>
      <c r="M50" s="1772"/>
      <c r="N50" s="1759"/>
      <c r="O50" s="1759"/>
      <c r="P50" s="1759"/>
      <c r="Q50" s="1759"/>
      <c r="R50" s="1772"/>
      <c r="S50" s="1759"/>
      <c r="T50" s="1759"/>
      <c r="U50" s="1723"/>
      <c r="V50" s="1759"/>
      <c r="W50" s="1759"/>
      <c r="X50" s="1759"/>
      <c r="Y50" s="1759"/>
      <c r="Z50" s="1759"/>
      <c r="AA50" s="1741"/>
      <c r="AB50" s="1741"/>
      <c r="AC50" s="1741"/>
      <c r="AD50" s="1741"/>
      <c r="AE50" s="1741"/>
    </row>
    <row r="51" spans="1:31" s="1753" customFormat="1" ht="18.75" customHeight="1">
      <c r="A51" s="2344"/>
      <c r="B51" s="2006" t="str">
        <f>E33&amp;".1"</f>
        <v>2.2.1</v>
      </c>
      <c r="C51" s="1836"/>
      <c r="D51" s="1952"/>
      <c r="E51" s="1708" t="str">
        <f>B46&amp;".4"</f>
        <v>2.2.2.4</v>
      </c>
      <c r="F51" s="1713" t="s">
        <v>1720</v>
      </c>
      <c r="G51" s="1761" t="s">
        <v>1432</v>
      </c>
      <c r="H51" s="1716"/>
      <c r="I51" s="1716" t="s">
        <v>990</v>
      </c>
      <c r="J51" s="1912"/>
      <c r="K51" s="1722"/>
      <c r="L51" s="1772"/>
      <c r="M51" s="1772"/>
      <c r="N51" s="1759"/>
      <c r="O51" s="1759"/>
      <c r="P51" s="1759"/>
      <c r="Q51" s="1759"/>
      <c r="R51" s="1772"/>
      <c r="S51" s="1759"/>
      <c r="T51" s="1759"/>
      <c r="U51" s="1723"/>
      <c r="V51" s="1759"/>
      <c r="W51" s="1759"/>
      <c r="X51" s="1759"/>
      <c r="Y51" s="1759"/>
      <c r="Z51" s="1759"/>
      <c r="AA51" s="1741"/>
      <c r="AB51" s="1741"/>
      <c r="AC51" s="1741"/>
      <c r="AD51" s="1741"/>
      <c r="AE51" s="1741"/>
    </row>
    <row r="52" spans="1:31" s="1759" customFormat="1" ht="15" customHeight="1">
      <c r="A52" s="2343"/>
      <c r="C52" s="1497"/>
      <c r="D52" s="1494"/>
      <c r="E52" s="497"/>
      <c r="F52" s="498" t="s">
        <v>1730</v>
      </c>
      <c r="G52" s="499"/>
      <c r="H52" s="500"/>
      <c r="I52" s="500"/>
      <c r="J52" s="219"/>
      <c r="K52" s="1497" t="str">
        <f t="shared" ref="K52:K82" si="1">IF((LEN(E52)-LEN(SUBSTITUTE(E52,".","")))/LEN(".")=1,"p","")</f>
        <v/>
      </c>
      <c r="L52" s="1497"/>
      <c r="M52" s="1497"/>
      <c r="R52" s="1497"/>
      <c r="U52" s="471"/>
      <c r="AA52" s="1493"/>
      <c r="AB52" s="1493"/>
      <c r="AC52" s="1493"/>
      <c r="AD52" s="1493"/>
      <c r="AE52" s="1493"/>
    </row>
    <row r="53" spans="1:31" ht="11.25" hidden="1" customHeight="1">
      <c r="A53" s="2343" t="s">
        <v>1731</v>
      </c>
      <c r="D53" s="1499"/>
      <c r="E53" s="473" t="str">
        <f>FHD_NUM_P_5</f>
        <v/>
      </c>
      <c r="F53" s="849" t="str">
        <f>FHD_P_5</f>
        <v/>
      </c>
      <c r="G53" s="1506" t="s">
        <v>1718</v>
      </c>
      <c r="H53" s="484"/>
      <c r="I53" s="484"/>
      <c r="J53" s="207" t="str">
        <f>FHD_NOTE_P_5</f>
        <v/>
      </c>
      <c r="K53" s="1497" t="str">
        <f t="shared" si="1"/>
        <v/>
      </c>
    </row>
    <row r="54" spans="1:31" ht="11.25" hidden="1" customHeight="1">
      <c r="A54" s="2343"/>
      <c r="D54" s="1499"/>
      <c r="E54" s="473" t="str">
        <f>FHD_NUM_P_6</f>
        <v/>
      </c>
      <c r="F54" s="849" t="str">
        <f>FHD_P_6</f>
        <v/>
      </c>
      <c r="G54" s="1506" t="s">
        <v>1718</v>
      </c>
      <c r="H54" s="484"/>
      <c r="I54" s="484"/>
      <c r="J54" s="207" t="str">
        <f>FHD_NOTE_P_6</f>
        <v/>
      </c>
      <c r="K54" s="1497" t="str">
        <f t="shared" si="1"/>
        <v/>
      </c>
    </row>
    <row r="55" spans="1:31" ht="11.25" hidden="1" customHeight="1">
      <c r="A55" s="2343"/>
      <c r="D55" s="1499"/>
      <c r="E55" s="473" t="str">
        <f>FHD_NUM_P_7</f>
        <v/>
      </c>
      <c r="F55" s="849" t="str">
        <f>FHD_P_7</f>
        <v/>
      </c>
      <c r="G55" s="1506" t="s">
        <v>1718</v>
      </c>
      <c r="H55" s="484"/>
      <c r="I55" s="484"/>
      <c r="J55" s="207" t="str">
        <f>FHD_NOTE_P_7</f>
        <v/>
      </c>
      <c r="K55" s="1497" t="str">
        <f t="shared" si="1"/>
        <v/>
      </c>
    </row>
    <row r="56" spans="1:31" ht="24" customHeight="1">
      <c r="D56" s="1499"/>
      <c r="E56" s="473" t="str">
        <f>FHD_NUM_P_8</f>
        <v>2.3</v>
      </c>
      <c r="F56" s="849" t="str">
        <f>FHD_P_8</f>
        <v>Расходы на приобретаемую электрическую энергию (мощность), используемую в технологическом процессе</v>
      </c>
      <c r="G56" s="1506" t="s">
        <v>1718</v>
      </c>
      <c r="H56" s="484"/>
      <c r="I56" s="484">
        <v>0</v>
      </c>
      <c r="J56" s="207" t="str">
        <f>FHD_NOTE_P_8</f>
        <v/>
      </c>
      <c r="K56" s="1497" t="str">
        <f t="shared" si="1"/>
        <v>p</v>
      </c>
    </row>
    <row r="57" spans="1:31" ht="13.5" customHeight="1">
      <c r="D57" s="1499"/>
      <c r="E57" s="473" t="str">
        <f>FHD_NUM_P_9</f>
        <v>2.3.1</v>
      </c>
      <c r="F57" s="1510" t="str">
        <f>FHD_P_9</f>
        <v>Средневзвешенная стоимость 1 кВт.ч (с учетом мощности)</v>
      </c>
      <c r="G57" s="1506" t="s">
        <v>1616</v>
      </c>
      <c r="H57" s="484"/>
      <c r="I57" s="484">
        <v>0</v>
      </c>
      <c r="J57" s="207" t="str">
        <f>FHD_NOTE_P_9</f>
        <v/>
      </c>
      <c r="K57" s="1497" t="str">
        <f t="shared" si="1"/>
        <v/>
      </c>
    </row>
    <row r="58" spans="1:31" s="1759" customFormat="1" ht="13.5" customHeight="1">
      <c r="A58" s="880"/>
      <c r="C58" s="1497"/>
      <c r="D58" s="501"/>
      <c r="E58" s="473" t="str">
        <f>FHD_NUM_P_10</f>
        <v>2.3.2</v>
      </c>
      <c r="F58" s="1510" t="str">
        <f>FHD_P_10</f>
        <v>Объём приобретения электрической энергии</v>
      </c>
      <c r="G58" s="1506" t="s">
        <v>1732</v>
      </c>
      <c r="H58" s="484"/>
      <c r="I58" s="484">
        <v>0</v>
      </c>
      <c r="J58" s="207" t="str">
        <f>FHD_NOTE_P_10</f>
        <v/>
      </c>
      <c r="K58" s="1497" t="str">
        <f t="shared" si="1"/>
        <v/>
      </c>
      <c r="L58" s="1497"/>
      <c r="M58" s="1497"/>
      <c r="R58" s="1497"/>
      <c r="U58" s="471"/>
      <c r="AA58" s="1493"/>
      <c r="AB58" s="1493"/>
      <c r="AC58" s="1493"/>
      <c r="AD58" s="1493"/>
      <c r="AE58" s="1493"/>
    </row>
    <row r="59" spans="1:31" s="1759" customFormat="1" ht="24" customHeight="1">
      <c r="A59" s="882" t="s">
        <v>1733</v>
      </c>
      <c r="C59" s="1497"/>
      <c r="D59" s="502"/>
      <c r="E59" s="473" t="str">
        <f>FHD_NUM_P_11</f>
        <v>2.4</v>
      </c>
      <c r="F59" s="849" t="str">
        <f>FHD_P_11</f>
        <v>Расходы на приобретение холодной воды, используемой в технологическом процессе</v>
      </c>
      <c r="G59" s="1506" t="s">
        <v>1718</v>
      </c>
      <c r="H59" s="484"/>
      <c r="I59" s="484">
        <v>0</v>
      </c>
      <c r="J59" s="207" t="str">
        <f>FHD_NOTE_P_11</f>
        <v/>
      </c>
      <c r="K59" s="1497" t="str">
        <f t="shared" si="1"/>
        <v>p</v>
      </c>
      <c r="L59" s="1497"/>
      <c r="M59" s="1497"/>
      <c r="R59" s="1497"/>
      <c r="U59" s="471"/>
      <c r="AA59" s="1493"/>
      <c r="AB59" s="1493"/>
      <c r="AC59" s="1493"/>
      <c r="AD59" s="1493"/>
      <c r="AE59" s="1493"/>
    </row>
    <row r="60" spans="1:31" s="1759" customFormat="1" ht="24" customHeight="1">
      <c r="A60" s="882" t="s">
        <v>1734</v>
      </c>
      <c r="C60" s="1497"/>
      <c r="D60" s="1499"/>
      <c r="E60" s="473" t="str">
        <f>FHD_NUM_P_12</f>
        <v>2.5</v>
      </c>
      <c r="F60" s="849" t="str">
        <f>FHD_P_12</f>
        <v>Расходы на химические реагенты, используемые в технологическом процессе</v>
      </c>
      <c r="G60" s="1506" t="s">
        <v>1718</v>
      </c>
      <c r="H60" s="504"/>
      <c r="I60" s="504">
        <v>33791.22</v>
      </c>
      <c r="J60" s="207" t="str">
        <f>FHD_NOTE_P_12</f>
        <v/>
      </c>
      <c r="K60" s="1497" t="str">
        <f t="shared" si="1"/>
        <v>p</v>
      </c>
      <c r="L60" s="1497"/>
      <c r="M60" s="1497"/>
      <c r="R60" s="1497"/>
      <c r="U60" s="471"/>
      <c r="AA60" s="1493"/>
      <c r="AB60" s="1493"/>
      <c r="AC60" s="1493"/>
      <c r="AD60" s="1493"/>
      <c r="AE60" s="1493"/>
    </row>
    <row r="61" spans="1:31" s="1674" customFormat="1" ht="35.25" customHeight="1">
      <c r="A61" s="881"/>
      <c r="C61" s="645"/>
      <c r="D61" s="589"/>
      <c r="E61" s="473" t="str">
        <f>FHD_NUM_P_13</f>
        <v>2.6</v>
      </c>
      <c r="F61" s="84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61" s="1506" t="s">
        <v>1718</v>
      </c>
      <c r="H61" s="484"/>
      <c r="I61" s="484">
        <f>I62+I63</f>
        <v>172411.65</v>
      </c>
      <c r="J61" s="207" t="str">
        <f>FHD_NOTE_P_13</f>
        <v/>
      </c>
      <c r="K61" s="1497" t="str">
        <f t="shared" si="1"/>
        <v>p</v>
      </c>
      <c r="L61" s="645"/>
      <c r="M61" s="645"/>
      <c r="R61" s="645"/>
      <c r="U61" s="646"/>
      <c r="AA61" s="647"/>
      <c r="AB61" s="647"/>
      <c r="AC61" s="647"/>
      <c r="AD61" s="647"/>
      <c r="AE61" s="647"/>
    </row>
    <row r="62" spans="1:31" s="1674" customFormat="1" ht="24" customHeight="1">
      <c r="A62" s="881"/>
      <c r="C62" s="645"/>
      <c r="D62" s="589"/>
      <c r="E62" s="473" t="str">
        <f>FHD_NUM_P_14</f>
        <v>2.6.1</v>
      </c>
      <c r="F62" s="1510" t="str">
        <f>FHD_P_14</f>
        <v>Расходы на оплату труда основного производственного персонала</v>
      </c>
      <c r="G62" s="1506" t="s">
        <v>1718</v>
      </c>
      <c r="H62" s="484"/>
      <c r="I62" s="484">
        <v>134420.13</v>
      </c>
      <c r="J62" s="207" t="str">
        <f>FHD_NOTE_P_14</f>
        <v/>
      </c>
      <c r="K62" s="1497" t="str">
        <f t="shared" si="1"/>
        <v/>
      </c>
      <c r="L62" s="645"/>
      <c r="M62" s="645"/>
      <c r="R62" s="645"/>
      <c r="U62" s="646"/>
      <c r="AA62" s="647"/>
      <c r="AB62" s="647"/>
      <c r="AC62" s="647"/>
      <c r="AD62" s="647"/>
      <c r="AE62" s="647"/>
    </row>
    <row r="63" spans="1:31" s="1674" customFormat="1" ht="35.25" customHeight="1">
      <c r="A63" s="881"/>
      <c r="C63" s="645"/>
      <c r="D63" s="589"/>
      <c r="E63" s="473" t="str">
        <f>FHD_NUM_P_15</f>
        <v>2.6.2</v>
      </c>
      <c r="F63" s="1510" t="str">
        <f>FHD_P_15</f>
        <v>Страховые взносы на обязательное социальное страхование, выплачиваемые из фонда оплаты труда основного производственного персонала</v>
      </c>
      <c r="G63" s="1506" t="s">
        <v>1718</v>
      </c>
      <c r="H63" s="484"/>
      <c r="I63" s="484">
        <v>37991.519999999997</v>
      </c>
      <c r="J63" s="207" t="str">
        <f>FHD_NOTE_P_15</f>
        <v/>
      </c>
      <c r="K63" s="1497" t="str">
        <f t="shared" si="1"/>
        <v/>
      </c>
      <c r="L63" s="645"/>
      <c r="M63" s="645"/>
      <c r="R63" s="645"/>
      <c r="U63" s="646"/>
      <c r="AA63" s="647"/>
      <c r="AB63" s="647"/>
      <c r="AC63" s="647"/>
      <c r="AD63" s="647"/>
      <c r="AE63" s="647"/>
    </row>
    <row r="64" spans="1:31" s="1759" customFormat="1" ht="35.25" customHeight="1">
      <c r="A64" s="880"/>
      <c r="C64" s="1497"/>
      <c r="D64" s="1499"/>
      <c r="E64" s="473" t="str">
        <f>FHD_NUM_P_16</f>
        <v>2.7</v>
      </c>
      <c r="F64" s="84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64" s="1506" t="s">
        <v>1718</v>
      </c>
      <c r="H64" s="484"/>
      <c r="I64" s="484">
        <f>I65+I66</f>
        <v>0</v>
      </c>
      <c r="J64" s="207" t="str">
        <f>FHD_NOTE_P_16</f>
        <v/>
      </c>
      <c r="K64" s="1497" t="str">
        <f t="shared" si="1"/>
        <v>p</v>
      </c>
      <c r="L64" s="1497"/>
      <c r="M64" s="1502"/>
      <c r="N64" s="464"/>
      <c r="O64" s="464"/>
      <c r="R64" s="1497"/>
      <c r="U64" s="471"/>
      <c r="AA64" s="1493"/>
      <c r="AB64" s="1493"/>
      <c r="AC64" s="1493"/>
      <c r="AD64" s="1493"/>
      <c r="AE64" s="1493"/>
    </row>
    <row r="65" spans="1:31" s="1759" customFormat="1" ht="24" customHeight="1">
      <c r="A65" s="880"/>
      <c r="C65" s="1497"/>
      <c r="D65" s="1499"/>
      <c r="E65" s="473" t="str">
        <f>FHD_NUM_P_17</f>
        <v>2.7.1</v>
      </c>
      <c r="F65" s="1510" t="str">
        <f>FHD_P_17</f>
        <v>Расходы на оплату труда административно-управленческого персонала</v>
      </c>
      <c r="G65" s="1506" t="s">
        <v>1718</v>
      </c>
      <c r="H65" s="484"/>
      <c r="I65" s="484">
        <v>0</v>
      </c>
      <c r="J65" s="207" t="str">
        <f>FHD_NOTE_P_17</f>
        <v/>
      </c>
      <c r="K65" s="1497" t="str">
        <f t="shared" si="1"/>
        <v/>
      </c>
      <c r="L65" s="1497"/>
      <c r="M65" s="1502"/>
      <c r="N65" s="464"/>
      <c r="O65" s="464"/>
      <c r="R65" s="1497"/>
      <c r="U65" s="471"/>
      <c r="AA65" s="1493"/>
      <c r="AB65" s="1493"/>
      <c r="AC65" s="1493"/>
      <c r="AD65" s="1493"/>
      <c r="AE65" s="1493"/>
    </row>
    <row r="66" spans="1:31" s="1759" customFormat="1" ht="35.25" customHeight="1">
      <c r="A66" s="880"/>
      <c r="C66" s="1497"/>
      <c r="D66" s="1499"/>
      <c r="E66" s="473" t="str">
        <f>FHD_NUM_P_18</f>
        <v>2.7.2</v>
      </c>
      <c r="F66" s="1510" t="str">
        <f>FHD_P_18</f>
        <v>Страховые взносы на обязательное социальное страхование, выплачиваемые из фонда оплаты труда административно-управленческого персонала</v>
      </c>
      <c r="G66" s="1506" t="s">
        <v>1718</v>
      </c>
      <c r="H66" s="484"/>
      <c r="I66" s="484">
        <v>0</v>
      </c>
      <c r="J66" s="207" t="str">
        <f>FHD_NOTE_P_18</f>
        <v/>
      </c>
      <c r="K66" s="1497" t="str">
        <f t="shared" si="1"/>
        <v/>
      </c>
      <c r="L66" s="1497"/>
      <c r="M66" s="1502"/>
      <c r="N66" s="464"/>
      <c r="O66" s="464"/>
      <c r="R66" s="1497"/>
      <c r="U66" s="471"/>
      <c r="AA66" s="1493"/>
      <c r="AB66" s="1493"/>
      <c r="AC66" s="1493"/>
      <c r="AD66" s="1493"/>
      <c r="AE66" s="1493"/>
    </row>
    <row r="67" spans="1:31" s="1759" customFormat="1" ht="24" customHeight="1">
      <c r="A67" s="880"/>
      <c r="C67" s="1497"/>
      <c r="D67" s="502"/>
      <c r="E67" s="473" t="str">
        <f>FHD_NUM_P_19</f>
        <v>2.8</v>
      </c>
      <c r="F67" s="849" t="str">
        <f>FHD_P_19</f>
        <v>Расходы на амортизацию основных средств и нематериальных активов</v>
      </c>
      <c r="G67" s="1506" t="s">
        <v>1718</v>
      </c>
      <c r="H67" s="484"/>
      <c r="I67" s="484">
        <f>I68+I69</f>
        <v>311494.59999999998</v>
      </c>
      <c r="J67" s="207" t="str">
        <f>FHD_NOTE_P_19</f>
        <v/>
      </c>
      <c r="K67" s="1497" t="str">
        <f t="shared" si="1"/>
        <v>p</v>
      </c>
      <c r="L67" s="1497"/>
      <c r="M67" s="1497"/>
      <c r="R67" s="1497"/>
      <c r="U67" s="471"/>
      <c r="AA67" s="1493"/>
      <c r="AB67" s="1493"/>
      <c r="AC67" s="1493"/>
      <c r="AD67" s="1493"/>
      <c r="AE67" s="1493"/>
    </row>
    <row r="68" spans="1:31" s="1759" customFormat="1" ht="13.5" customHeight="1">
      <c r="A68" s="880"/>
      <c r="C68" s="1497"/>
      <c r="D68" s="502"/>
      <c r="E68" s="473" t="str">
        <f>FHD_NUM_P_20</f>
        <v>2.8.1</v>
      </c>
      <c r="F68" s="1510" t="str">
        <f>FHD_P_20</f>
        <v>Расходы на амортизацию основных средств</v>
      </c>
      <c r="G68" s="1506" t="s">
        <v>1718</v>
      </c>
      <c r="H68" s="484"/>
      <c r="I68" s="484">
        <v>311494.59999999998</v>
      </c>
      <c r="J68" s="207" t="str">
        <f>FHD_NOTE_P_20</f>
        <v/>
      </c>
      <c r="K68" s="1497" t="str">
        <f t="shared" si="1"/>
        <v/>
      </c>
      <c r="L68" s="1497"/>
      <c r="M68" s="1497"/>
      <c r="R68" s="1497"/>
      <c r="U68" s="471"/>
      <c r="AA68" s="1493"/>
      <c r="AB68" s="1493"/>
      <c r="AC68" s="1493"/>
      <c r="AD68" s="1493"/>
      <c r="AE68" s="1493"/>
    </row>
    <row r="69" spans="1:31" s="1759" customFormat="1" ht="13.5" customHeight="1">
      <c r="A69" s="880"/>
      <c r="C69" s="1497"/>
      <c r="D69" s="502"/>
      <c r="E69" s="473" t="str">
        <f>FHD_NUM_P_21</f>
        <v>2.8.2</v>
      </c>
      <c r="F69" s="1510" t="str">
        <f>FHD_P_21</f>
        <v>Расходы на амортизацию нематериальных активов</v>
      </c>
      <c r="G69" s="1506" t="s">
        <v>1718</v>
      </c>
      <c r="H69" s="484"/>
      <c r="I69" s="484">
        <v>0</v>
      </c>
      <c r="J69" s="207" t="str">
        <f>FHD_NOTE_P_21</f>
        <v/>
      </c>
      <c r="K69" s="1497" t="str">
        <f t="shared" si="1"/>
        <v/>
      </c>
      <c r="L69" s="1497"/>
      <c r="M69" s="1497"/>
      <c r="R69" s="1497"/>
      <c r="U69" s="471"/>
      <c r="AA69" s="1493"/>
      <c r="AB69" s="1493"/>
      <c r="AC69" s="1493"/>
      <c r="AD69" s="1493"/>
      <c r="AE69" s="1493"/>
    </row>
    <row r="70" spans="1:31" s="1759" customFormat="1" ht="24" customHeight="1">
      <c r="A70" s="880"/>
      <c r="C70" s="1497"/>
      <c r="D70" s="1499"/>
      <c r="E70" s="473" t="str">
        <f>FHD_NUM_P_22</f>
        <v>2.9</v>
      </c>
      <c r="F70" s="849" t="str">
        <f>FHD_P_22</f>
        <v>Расходы на аренду имущества, используемого для осуществления регулируемого вида деятельности</v>
      </c>
      <c r="G70" s="1506" t="s">
        <v>1718</v>
      </c>
      <c r="H70" s="484"/>
      <c r="I70" s="484">
        <v>4113.8</v>
      </c>
      <c r="J70" s="207" t="str">
        <f>FHD_NOTE_P_22</f>
        <v/>
      </c>
      <c r="K70" s="1497" t="str">
        <f t="shared" si="1"/>
        <v>p</v>
      </c>
      <c r="L70" s="1497"/>
      <c r="M70" s="1497"/>
      <c r="R70" s="1497"/>
      <c r="U70" s="471"/>
      <c r="AA70" s="1493"/>
      <c r="AB70" s="1493"/>
      <c r="AC70" s="1493"/>
      <c r="AD70" s="1493"/>
      <c r="AE70" s="1493"/>
    </row>
    <row r="71" spans="1:31" s="1759" customFormat="1" ht="15.75" customHeight="1">
      <c r="A71" s="880"/>
      <c r="C71" s="1497"/>
      <c r="D71" s="502"/>
      <c r="E71" s="473" t="str">
        <f>FHD_NUM_P_23</f>
        <v>2.10</v>
      </c>
      <c r="F71" s="849" t="str">
        <f>FHD_P_23</f>
        <v>Общепроизводственные расходы, в том числе:</v>
      </c>
      <c r="G71" s="1506" t="s">
        <v>1718</v>
      </c>
      <c r="H71" s="484"/>
      <c r="I71" s="484">
        <v>691326.99</v>
      </c>
      <c r="J71" s="207" t="str">
        <f>FHD_NOTE_P_23</f>
        <v>Указывается общая сумма общепроизводственных расходов.</v>
      </c>
      <c r="K71" s="1497" t="str">
        <f t="shared" si="1"/>
        <v>p</v>
      </c>
      <c r="L71" s="1497"/>
      <c r="M71" s="1497"/>
      <c r="R71" s="1497"/>
      <c r="U71" s="471"/>
      <c r="AA71" s="1493"/>
      <c r="AB71" s="1493"/>
      <c r="AC71" s="1493"/>
      <c r="AD71" s="1493"/>
      <c r="AE71" s="1493"/>
    </row>
    <row r="72" spans="1:31" s="1759" customFormat="1" ht="16.5" customHeight="1">
      <c r="A72" s="880"/>
      <c r="C72" s="1497"/>
      <c r="D72" s="502"/>
      <c r="E72" s="473" t="str">
        <f>FHD_NUM_P_24</f>
        <v>2.10.1</v>
      </c>
      <c r="F72" s="1510" t="str">
        <f>FHD_P_24</f>
        <v>Расходы на текущий ремонт</v>
      </c>
      <c r="G72" s="1506" t="s">
        <v>1718</v>
      </c>
      <c r="H72" s="484"/>
      <c r="I72" s="484">
        <v>137658.9</v>
      </c>
      <c r="J72" s="207" t="str">
        <f>FHD_NOTE_P_24</f>
        <v>Указываются расходы на текущий ремонт, отнесенные к общепроизводственным расходам.</v>
      </c>
      <c r="K72" s="1497" t="str">
        <f t="shared" si="1"/>
        <v/>
      </c>
      <c r="L72" s="1497"/>
      <c r="M72" s="1497"/>
      <c r="R72" s="1497"/>
      <c r="U72" s="471"/>
      <c r="AA72" s="1493"/>
      <c r="AB72" s="1493"/>
      <c r="AC72" s="1493"/>
      <c r="AD72" s="1493"/>
      <c r="AE72" s="1493"/>
    </row>
    <row r="73" spans="1:31" s="1759" customFormat="1" ht="19.5" customHeight="1">
      <c r="A73" s="880"/>
      <c r="C73" s="1497"/>
      <c r="D73" s="502"/>
      <c r="E73" s="473" t="str">
        <f>FHD_NUM_P_25</f>
        <v>2.10.2</v>
      </c>
      <c r="F73" s="1510" t="str">
        <f>FHD_P_25</f>
        <v>Расходы на капитальный ремонт</v>
      </c>
      <c r="G73" s="1506" t="s">
        <v>1718</v>
      </c>
      <c r="H73" s="484"/>
      <c r="I73" s="484">
        <v>0</v>
      </c>
      <c r="J73" s="207" t="str">
        <f>FHD_NOTE_P_25</f>
        <v>Указываются расходы на капитальный ремонт, отнесенные к общепроизводственным расходам.</v>
      </c>
      <c r="K73" s="1497" t="str">
        <f t="shared" si="1"/>
        <v/>
      </c>
      <c r="L73" s="1497"/>
      <c r="M73" s="1497"/>
      <c r="R73" s="1497"/>
      <c r="U73" s="471"/>
      <c r="AA73" s="1493"/>
      <c r="AB73" s="1493"/>
      <c r="AC73" s="1493"/>
      <c r="AD73" s="1493"/>
      <c r="AE73" s="1493"/>
    </row>
    <row r="74" spans="1:31" s="1759" customFormat="1" ht="15.75" customHeight="1">
      <c r="A74" s="880"/>
      <c r="C74" s="1497"/>
      <c r="D74" s="1499"/>
      <c r="E74" s="473" t="str">
        <f>FHD_NUM_P_26</f>
        <v>2.11</v>
      </c>
      <c r="F74" s="849" t="str">
        <f>FHD_P_26</f>
        <v>Общехозяйственные расходы, в том числе:</v>
      </c>
      <c r="G74" s="1506" t="s">
        <v>1718</v>
      </c>
      <c r="H74" s="484"/>
      <c r="I74" s="484">
        <v>178110.14</v>
      </c>
      <c r="J74" s="207" t="str">
        <f>FHD_NOTE_P_26</f>
        <v>Указывается общая сумма общехозяйственных расходов.</v>
      </c>
      <c r="K74" s="1497" t="str">
        <f t="shared" si="1"/>
        <v>p</v>
      </c>
      <c r="L74" s="1497"/>
      <c r="M74" s="1497"/>
      <c r="R74" s="1497"/>
      <c r="U74" s="471"/>
      <c r="AA74" s="1493"/>
      <c r="AB74" s="1493"/>
      <c r="AC74" s="1493"/>
      <c r="AD74" s="1493"/>
      <c r="AE74" s="1493"/>
    </row>
    <row r="75" spans="1:31" s="1759" customFormat="1" ht="11.25" customHeight="1">
      <c r="A75" s="880"/>
      <c r="C75" s="1497"/>
      <c r="D75" s="1499"/>
      <c r="E75" s="473" t="str">
        <f>FHD_NUM_P_27</f>
        <v>2.11.1</v>
      </c>
      <c r="F75" s="1510" t="str">
        <f>FHD_P_27</f>
        <v>Расходы на текущий ремонт</v>
      </c>
      <c r="G75" s="1506" t="s">
        <v>1718</v>
      </c>
      <c r="H75" s="484"/>
      <c r="I75" s="484">
        <v>0</v>
      </c>
      <c r="J75" s="207" t="str">
        <f>FHD_NOTE_P_27</f>
        <v>Указываются расходы на текущий ремонт, отнесенные к общехозяйственным расходам.</v>
      </c>
      <c r="K75" s="1497" t="str">
        <f t="shared" si="1"/>
        <v/>
      </c>
      <c r="L75" s="1497"/>
      <c r="M75" s="1497"/>
      <c r="R75" s="1497"/>
      <c r="U75" s="471"/>
      <c r="AA75" s="1493"/>
      <c r="AB75" s="1493"/>
      <c r="AC75" s="1493"/>
      <c r="AD75" s="1493"/>
      <c r="AE75" s="1493"/>
    </row>
    <row r="76" spans="1:31" s="1759" customFormat="1" ht="11.25" customHeight="1">
      <c r="A76" s="880"/>
      <c r="C76" s="1497"/>
      <c r="D76" s="1499"/>
      <c r="E76" s="473" t="str">
        <f>FHD_NUM_P_28</f>
        <v>2.11.2</v>
      </c>
      <c r="F76" s="1510" t="str">
        <f>FHD_P_28</f>
        <v>Расходы на капитальный ремонт</v>
      </c>
      <c r="G76" s="1506" t="s">
        <v>1718</v>
      </c>
      <c r="H76" s="484"/>
      <c r="I76" s="484">
        <v>0</v>
      </c>
      <c r="J76" s="207" t="str">
        <f>FHD_NOTE_P_28</f>
        <v>Указываются расходы на капитальный ремонт, отнесенные к общехозяйственным расходам.</v>
      </c>
      <c r="K76" s="1497" t="str">
        <f t="shared" si="1"/>
        <v/>
      </c>
      <c r="L76" s="1497"/>
      <c r="M76" s="1497"/>
      <c r="R76" s="1497"/>
      <c r="U76" s="471"/>
      <c r="AA76" s="1493"/>
      <c r="AB76" s="1493"/>
      <c r="AC76" s="1493"/>
      <c r="AD76" s="1493"/>
      <c r="AE76" s="1493"/>
    </row>
    <row r="77" spans="1:31" s="1759" customFormat="1" ht="19.5" customHeight="1">
      <c r="A77" s="880"/>
      <c r="C77" s="1497"/>
      <c r="D77" s="1499"/>
      <c r="E77" s="473" t="str">
        <f>FHD_NUM_P_29</f>
        <v>2.12</v>
      </c>
      <c r="F77" s="849" t="str">
        <f>FHD_P_29</f>
        <v>Расходы на капитальный и текущий ремонт основных средств</v>
      </c>
      <c r="G77" s="1506" t="s">
        <v>1718</v>
      </c>
      <c r="H77" s="484"/>
      <c r="I77" s="484">
        <v>0</v>
      </c>
      <c r="J77" s="207"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77" s="1497" t="str">
        <f t="shared" si="1"/>
        <v>p</v>
      </c>
      <c r="L77" s="1497"/>
      <c r="M77" s="1497"/>
      <c r="R77" s="1497"/>
      <c r="U77" s="471"/>
      <c r="AA77" s="1493"/>
      <c r="AB77" s="1493"/>
      <c r="AC77" s="1493"/>
      <c r="AD77" s="1493"/>
      <c r="AE77" s="1493"/>
    </row>
    <row r="78" spans="1:31" s="1759" customFormat="1" ht="54" customHeight="1">
      <c r="A78" s="880"/>
      <c r="C78" s="1497"/>
      <c r="D78" s="1499"/>
      <c r="E78" s="473" t="str">
        <f>FHD_NUM_P_30</f>
        <v>2.12.1</v>
      </c>
      <c r="F78" s="151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78" s="1506" t="s">
        <v>298</v>
      </c>
      <c r="H78" s="1509" t="s">
        <v>1425</v>
      </c>
      <c r="I78" s="1509" t="s">
        <v>1425</v>
      </c>
      <c r="J78" s="207" t="str">
        <f>FHD_NOTE_P_30</f>
        <v/>
      </c>
      <c r="K78" s="1497" t="str">
        <f t="shared" si="1"/>
        <v/>
      </c>
      <c r="L78" s="1497">
        <f>IFERROR(MATCH("есть",B_FHD_FLAG_INDEX_1,0),0)</f>
        <v>0</v>
      </c>
      <c r="M78" s="1497"/>
      <c r="R78" s="1497"/>
      <c r="U78" s="471"/>
      <c r="AA78" s="1493"/>
      <c r="AB78" s="1493"/>
      <c r="AC78" s="1493"/>
      <c r="AD78" s="1493"/>
      <c r="AE78" s="1493"/>
    </row>
    <row r="79" spans="1:31" s="1759" customFormat="1" ht="11.25" hidden="1" customHeight="1">
      <c r="A79" s="2343" t="s">
        <v>1735</v>
      </c>
      <c r="C79" s="1497"/>
      <c r="D79" s="1499"/>
      <c r="E79" s="473" t="str">
        <f>FHD_NUM_P_31</f>
        <v/>
      </c>
      <c r="F79" s="849" t="str">
        <f>FHD_P_31</f>
        <v/>
      </c>
      <c r="G79" s="1506" t="s">
        <v>1718</v>
      </c>
      <c r="H79" s="484"/>
      <c r="I79" s="484"/>
      <c r="J79" s="207" t="str">
        <f>FHD_NOTE_P_31</f>
        <v/>
      </c>
      <c r="K79" s="1497" t="str">
        <f t="shared" si="1"/>
        <v/>
      </c>
      <c r="L79" s="1497"/>
      <c r="M79" s="1497"/>
      <c r="R79" s="1497"/>
      <c r="U79" s="471"/>
      <c r="AA79" s="1493"/>
      <c r="AB79" s="1493"/>
      <c r="AC79" s="1493"/>
      <c r="AD79" s="1493"/>
      <c r="AE79" s="1493"/>
    </row>
    <row r="80" spans="1:31" s="1759" customFormat="1" ht="11.25" hidden="1" customHeight="1">
      <c r="A80" s="2343"/>
      <c r="C80" s="1497"/>
      <c r="D80" s="1499"/>
      <c r="E80" s="473" t="str">
        <f>FHD_NUM_P_32</f>
        <v/>
      </c>
      <c r="F80" s="1510" t="str">
        <f>FHD_P_32</f>
        <v/>
      </c>
      <c r="G80" s="1506" t="s">
        <v>298</v>
      </c>
      <c r="H80" s="1509" t="s">
        <v>1425</v>
      </c>
      <c r="I80" s="1509" t="s">
        <v>1425</v>
      </c>
      <c r="J80" s="207" t="str">
        <f>FHD_NOTE_P_32</f>
        <v/>
      </c>
      <c r="K80" s="1497" t="str">
        <f t="shared" si="1"/>
        <v/>
      </c>
      <c r="L80" s="1497">
        <f>IFERROR(MATCH("есть",B_FHD_FLAG_INDEX_2,0),0)</f>
        <v>0</v>
      </c>
      <c r="M80" s="1497"/>
      <c r="R80" s="1497"/>
      <c r="U80" s="471"/>
      <c r="AA80" s="1493"/>
      <c r="AB80" s="1493"/>
      <c r="AC80" s="1493"/>
      <c r="AD80" s="1493"/>
      <c r="AE80" s="1493"/>
    </row>
    <row r="81" spans="1:31" s="1759" customFormat="1" ht="40.5" customHeight="1">
      <c r="A81" s="880"/>
      <c r="C81" s="1497"/>
      <c r="D81" s="1499"/>
      <c r="E81" s="473" t="str">
        <f>FHD_NUM_P_33</f>
        <v>2.13</v>
      </c>
      <c r="F81" s="849" t="str">
        <f>FHD_P_33</f>
        <v>Прочие расходы, которые подлежат отнесению на регулируемые виды деятельности в соответствии с законодательством Российской Федерации</v>
      </c>
      <c r="G81" s="1504" t="s">
        <v>1718</v>
      </c>
      <c r="H81" s="506">
        <f>SUM(H82:H85)</f>
        <v>0</v>
      </c>
      <c r="I81" s="506">
        <f>SUM(I82:I85)</f>
        <v>2094566.4200000002</v>
      </c>
      <c r="J81" s="207"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81" s="1497" t="str">
        <f t="shared" si="1"/>
        <v>p</v>
      </c>
      <c r="L81" s="1497"/>
      <c r="M81" s="1497"/>
      <c r="R81" s="1497"/>
      <c r="U81" s="471"/>
      <c r="AA81" s="1493"/>
      <c r="AB81" s="1493"/>
      <c r="AC81" s="1493"/>
      <c r="AD81" s="1493"/>
      <c r="AE81" s="1493"/>
    </row>
    <row r="82" spans="1:31" s="1772" customFormat="1" ht="1.5" customHeight="1">
      <c r="A82" s="1043"/>
      <c r="D82" s="475"/>
      <c r="E82" s="709" t="str">
        <f>E81&amp;".0"</f>
        <v>2.13.0</v>
      </c>
      <c r="F82" s="884"/>
      <c r="G82" s="478"/>
      <c r="H82" s="885"/>
      <c r="I82" s="885"/>
      <c r="J82" s="886"/>
      <c r="K82" s="1497" t="str">
        <f t="shared" si="1"/>
        <v/>
      </c>
    </row>
    <row r="83" spans="1:31" s="1741" customFormat="1" ht="22.5" customHeight="1">
      <c r="A83" s="1717"/>
      <c r="B83" s="1759"/>
      <c r="C83" s="1772"/>
      <c r="D83" s="1704" t="s">
        <v>1109</v>
      </c>
      <c r="E83" s="1761" t="str">
        <f>E81&amp;".1"</f>
        <v>2.13.1</v>
      </c>
      <c r="F83" s="1763" t="s">
        <v>1736</v>
      </c>
      <c r="G83" s="1761" t="s">
        <v>1718</v>
      </c>
      <c r="H83" s="1715"/>
      <c r="I83" s="1715">
        <v>1596492.36</v>
      </c>
      <c r="J83" s="1718" t="s">
        <v>1721</v>
      </c>
      <c r="K83" s="1722"/>
      <c r="L83" s="1772"/>
      <c r="M83" s="1772"/>
      <c r="N83" s="1759"/>
      <c r="O83" s="1759"/>
      <c r="P83" s="1759"/>
      <c r="Q83" s="1759"/>
      <c r="R83" s="1772"/>
      <c r="S83" s="1759"/>
      <c r="T83" s="1759"/>
      <c r="U83" s="1723"/>
      <c r="V83" s="1759"/>
      <c r="W83" s="1759"/>
      <c r="X83" s="1759"/>
      <c r="Y83" s="1759"/>
      <c r="Z83" s="1759"/>
    </row>
    <row r="84" spans="1:31" s="1741" customFormat="1" ht="22.5" customHeight="1">
      <c r="A84" s="1717"/>
      <c r="B84" s="1759"/>
      <c r="C84" s="1772"/>
      <c r="D84" s="1704" t="s">
        <v>1109</v>
      </c>
      <c r="E84" s="1761" t="str">
        <f>E81&amp;".2"</f>
        <v>2.13.2</v>
      </c>
      <c r="F84" s="1763" t="s">
        <v>1737</v>
      </c>
      <c r="G84" s="1761" t="s">
        <v>1718</v>
      </c>
      <c r="H84" s="1715"/>
      <c r="I84" s="1715">
        <v>498074.06</v>
      </c>
      <c r="J84" s="1718" t="s">
        <v>1721</v>
      </c>
      <c r="K84" s="1722"/>
      <c r="L84" s="1772"/>
      <c r="M84" s="1772"/>
      <c r="N84" s="1759"/>
      <c r="O84" s="1759"/>
      <c r="P84" s="1759"/>
      <c r="Q84" s="1759"/>
      <c r="R84" s="1772"/>
      <c r="S84" s="1759"/>
      <c r="T84" s="1759"/>
      <c r="U84" s="1723"/>
      <c r="V84" s="1759"/>
      <c r="W84" s="1759"/>
      <c r="X84" s="1759"/>
      <c r="Y84" s="1759"/>
      <c r="Z84" s="1759"/>
    </row>
    <row r="85" spans="1:31" s="1759" customFormat="1" ht="14.25" customHeight="1">
      <c r="A85" s="880"/>
      <c r="C85" s="1497"/>
      <c r="D85" s="1494"/>
      <c r="E85" s="497"/>
      <c r="F85" s="498" t="s">
        <v>1738</v>
      </c>
      <c r="G85" s="499"/>
      <c r="H85" s="500"/>
      <c r="I85" s="500"/>
      <c r="J85" s="219"/>
      <c r="K85" s="1497"/>
      <c r="L85" s="1497"/>
      <c r="M85" s="1497"/>
      <c r="R85" s="1497"/>
      <c r="U85" s="471"/>
      <c r="AA85" s="1493"/>
      <c r="AB85" s="1493"/>
      <c r="AC85" s="1493"/>
      <c r="AD85" s="1493"/>
      <c r="AE85" s="1493"/>
    </row>
    <row r="86" spans="1:31" s="1759" customFormat="1" ht="24" customHeight="1">
      <c r="A86" s="882" t="s">
        <v>1739</v>
      </c>
      <c r="C86" s="1497"/>
      <c r="D86" s="1499"/>
      <c r="E86" s="473" t="str">
        <f>FHD_NUM_P_34</f>
        <v>3</v>
      </c>
      <c r="F86" s="621" t="str">
        <f>FHD_P_34</f>
        <v>Валовая прибыль (убытки) от реализации товаров и оказания услуг по регулируемому виду деятельности</v>
      </c>
      <c r="G86" s="1506" t="s">
        <v>1718</v>
      </c>
      <c r="H86" s="484"/>
      <c r="I86" s="484">
        <f>I30-I31</f>
        <v>82231.354833113961</v>
      </c>
      <c r="J86" s="207" t="str">
        <f>FHD_NOTE_P_34</f>
        <v/>
      </c>
      <c r="K86" s="470"/>
      <c r="L86" s="1497"/>
      <c r="M86" s="1497"/>
      <c r="R86" s="1497"/>
      <c r="U86" s="471"/>
      <c r="AA86" s="1493"/>
      <c r="AB86" s="1493"/>
      <c r="AC86" s="1493"/>
      <c r="AD86" s="1493"/>
      <c r="AE86" s="1493"/>
    </row>
    <row r="87" spans="1:31" s="1759" customFormat="1" ht="24" customHeight="1">
      <c r="A87" s="880"/>
      <c r="C87" s="1497"/>
      <c r="D87" s="502"/>
      <c r="E87" s="473" t="str">
        <f>FHD_NUM_P_35</f>
        <v>4</v>
      </c>
      <c r="F87" s="621" t="str">
        <f>FHD_P_35</f>
        <v>Чистая прибыль, полученная от регулируемого вида деятельности, в том числе:</v>
      </c>
      <c r="G87" s="1506" t="s">
        <v>1718</v>
      </c>
      <c r="H87" s="484"/>
      <c r="I87" s="484">
        <f>I86-I86*0.2</f>
        <v>65785.083866491172</v>
      </c>
      <c r="J87" s="207" t="str">
        <f>FHD_NOTE_P_35</f>
        <v>Указывается общая сумма чистой прибыли, полученной от регулируемого вида деятельности.</v>
      </c>
      <c r="K87" s="470"/>
      <c r="L87" s="1497"/>
      <c r="M87" s="1497"/>
      <c r="R87" s="1497"/>
      <c r="U87" s="471"/>
      <c r="AA87" s="1493"/>
      <c r="AB87" s="1493"/>
      <c r="AC87" s="1493"/>
      <c r="AD87" s="1493"/>
      <c r="AE87" s="1493"/>
    </row>
    <row r="88" spans="1:31" s="1759" customFormat="1" ht="35.25" customHeight="1">
      <c r="A88" s="880"/>
      <c r="C88" s="1497"/>
      <c r="D88" s="1499"/>
      <c r="E88" s="473" t="str">
        <f>FHD_NUM_P_36</f>
        <v>4.1</v>
      </c>
      <c r="F88" s="849" t="str">
        <f>FHD_P_36</f>
        <v>Размер расходования чистой прибыли на финансирование мероприятий, предусмотренных инвестиционной программой регулируемой организации</v>
      </c>
      <c r="G88" s="1506" t="s">
        <v>1718</v>
      </c>
      <c r="H88" s="484"/>
      <c r="I88" s="484">
        <f>152153.1</f>
        <v>152153.1</v>
      </c>
      <c r="J88" s="207" t="str">
        <f>FHD_NOTE_P_36</f>
        <v/>
      </c>
      <c r="K88" s="470"/>
      <c r="L88" s="1497"/>
      <c r="M88" s="1497"/>
      <c r="R88" s="1497"/>
      <c r="U88" s="471"/>
      <c r="AA88" s="1493"/>
      <c r="AB88" s="1493"/>
      <c r="AC88" s="1493"/>
      <c r="AD88" s="1493"/>
      <c r="AE88" s="1493"/>
    </row>
    <row r="89" spans="1:31" s="1759" customFormat="1" ht="24" customHeight="1">
      <c r="A89" s="880"/>
      <c r="C89" s="1497"/>
      <c r="D89" s="1499"/>
      <c r="E89" s="473" t="str">
        <f>FHD_NUM_P_37</f>
        <v>5</v>
      </c>
      <c r="F89" s="621" t="str">
        <f>FHD_P_37</f>
        <v>Изменение стоимости основных фондов, в том числе:</v>
      </c>
      <c r="G89" s="1506" t="s">
        <v>1718</v>
      </c>
      <c r="H89" s="484"/>
      <c r="I89" s="484">
        <v>206087</v>
      </c>
      <c r="J89" s="207" t="str">
        <f>FHD_NOTE_P_37</f>
        <v>Указывается общее изменение стоимости основных фондов.</v>
      </c>
      <c r="K89" s="470"/>
      <c r="L89" s="1497"/>
      <c r="M89" s="1497"/>
      <c r="R89" s="1497"/>
      <c r="U89" s="471"/>
      <c r="AA89" s="1493"/>
      <c r="AB89" s="1493"/>
      <c r="AC89" s="1493"/>
      <c r="AD89" s="1493"/>
      <c r="AE89" s="1493"/>
    </row>
    <row r="90" spans="1:31" s="1759" customFormat="1" ht="35.25" customHeight="1">
      <c r="A90" s="880"/>
      <c r="C90" s="1497"/>
      <c r="D90" s="1499"/>
      <c r="E90" s="473" t="str">
        <f>FHD_NUM_P_38</f>
        <v>5.1</v>
      </c>
      <c r="F90" s="849" t="str">
        <f>FHD_P_38</f>
        <v>Изменение стоимости основных фондов за счет:</v>
      </c>
      <c r="G90" s="1506" t="s">
        <v>1718</v>
      </c>
      <c r="H90" s="484"/>
      <c r="I90" s="484">
        <v>206087</v>
      </c>
      <c r="J90" s="207" t="str">
        <f>FHD_NOTE_P_38</f>
        <v>Указываются общее изменение стоимости основных фондов за счет их ввода в эксплуатацию и вывода из эксплуатации.</v>
      </c>
      <c r="K90" s="470"/>
      <c r="L90" s="1497"/>
      <c r="M90" s="1497"/>
      <c r="R90" s="1497"/>
      <c r="U90" s="471"/>
      <c r="AA90" s="1493"/>
      <c r="AB90" s="1493"/>
      <c r="AC90" s="1493"/>
      <c r="AD90" s="1493"/>
      <c r="AE90" s="1493"/>
    </row>
    <row r="91" spans="1:31" s="1759" customFormat="1" ht="24" customHeight="1">
      <c r="A91" s="880"/>
      <c r="C91" s="1497"/>
      <c r="D91" s="1499"/>
      <c r="E91" s="473" t="str">
        <f>FHD_NUM_P_39</f>
        <v>5.1.1</v>
      </c>
      <c r="F91" s="1510" t="str">
        <f>FHD_P_39</f>
        <v>Изменения стоимости основных фондов за счет их ввода в эксплуатацию</v>
      </c>
      <c r="G91" s="1506" t="s">
        <v>1718</v>
      </c>
      <c r="H91" s="484"/>
      <c r="I91" s="484">
        <v>209360</v>
      </c>
      <c r="J91" s="207" t="str">
        <f>FHD_NOTE_P_39</f>
        <v>Указываются изменение стоимости основных фондов за счет их ввода в эксплуатацию.</v>
      </c>
      <c r="K91" s="470"/>
      <c r="L91" s="1497"/>
      <c r="M91" s="1497"/>
      <c r="R91" s="1497"/>
      <c r="U91" s="471"/>
      <c r="AA91" s="1493"/>
      <c r="AB91" s="1493"/>
      <c r="AC91" s="1493"/>
      <c r="AD91" s="1493"/>
      <c r="AE91" s="1493"/>
    </row>
    <row r="92" spans="1:31" s="1759" customFormat="1" ht="24" customHeight="1">
      <c r="A92" s="880"/>
      <c r="C92" s="1497"/>
      <c r="D92" s="1499"/>
      <c r="E92" s="473" t="str">
        <f>FHD_NUM_P_40</f>
        <v>5.1.2</v>
      </c>
      <c r="F92" s="1510" t="str">
        <f>FHD_P_40</f>
        <v>Изменения стоимости основных фондов за счет их вывода в эксплуатацию</v>
      </c>
      <c r="G92" s="1506" t="s">
        <v>1718</v>
      </c>
      <c r="H92" s="484"/>
      <c r="I92" s="484">
        <v>3273</v>
      </c>
      <c r="J92" s="207" t="str">
        <f>FHD_NOTE_P_40</f>
        <v>Указываются изменение стоимости основных фондов за счет их вывода из эксплуатации.</v>
      </c>
      <c r="K92" s="470"/>
      <c r="L92" s="1497"/>
      <c r="M92" s="1497"/>
      <c r="R92" s="1497"/>
      <c r="U92" s="471"/>
      <c r="AA92" s="1493"/>
      <c r="AB92" s="1493"/>
      <c r="AC92" s="1493"/>
      <c r="AD92" s="1493"/>
      <c r="AE92" s="1493"/>
    </row>
    <row r="93" spans="1:31" s="1759" customFormat="1" ht="13.5" customHeight="1">
      <c r="A93" s="880"/>
      <c r="C93" s="1497"/>
      <c r="D93" s="1499"/>
      <c r="E93" s="473" t="str">
        <f>FHD_NUM_P_41</f>
        <v>5.2</v>
      </c>
      <c r="F93" s="849" t="str">
        <f>FHD_P_41</f>
        <v>Изменение стоимости основных фондов за счет их переоценки</v>
      </c>
      <c r="G93" s="1504" t="s">
        <v>1718</v>
      </c>
      <c r="H93" s="484"/>
      <c r="I93" s="484">
        <v>0</v>
      </c>
      <c r="J93" s="207" t="str">
        <f>FHD_NOTE_P_41</f>
        <v/>
      </c>
      <c r="K93" s="470"/>
      <c r="L93" s="1497"/>
      <c r="M93" s="1497"/>
      <c r="R93" s="1497"/>
      <c r="U93" s="471"/>
      <c r="AA93" s="1493"/>
      <c r="AB93" s="1493"/>
      <c r="AC93" s="1493"/>
      <c r="AD93" s="1493"/>
      <c r="AE93" s="1493"/>
    </row>
    <row r="94" spans="1:31" s="1759" customFormat="1" ht="18.75" hidden="1" customHeight="1">
      <c r="A94" s="882" t="s">
        <v>1740</v>
      </c>
      <c r="C94" s="1497"/>
      <c r="D94" s="1499"/>
      <c r="E94" s="473" t="str">
        <f>FHD_NUM_P_42</f>
        <v/>
      </c>
      <c r="F94" s="621" t="str">
        <f>FHD_P_42</f>
        <v/>
      </c>
      <c r="G94" s="1506" t="s">
        <v>1718</v>
      </c>
      <c r="H94" s="870"/>
      <c r="I94" s="484"/>
      <c r="J94" s="207" t="str">
        <f>FHD_NOTE_P_42</f>
        <v/>
      </c>
      <c r="K94" s="470"/>
      <c r="L94" s="1497"/>
      <c r="M94" s="1497"/>
      <c r="R94" s="1497"/>
      <c r="U94" s="471"/>
      <c r="AA94" s="1493"/>
      <c r="AB94" s="1493"/>
      <c r="AC94" s="1493"/>
      <c r="AD94" s="1493"/>
      <c r="AE94" s="1493"/>
    </row>
    <row r="95" spans="1:31" s="1759" customFormat="1" ht="39.75" customHeight="1">
      <c r="A95" s="880"/>
      <c r="C95" s="1497"/>
      <c r="D95" s="1499"/>
      <c r="E95" s="473" t="str">
        <f>FHD_NUM_P_43</f>
        <v>6</v>
      </c>
      <c r="F95" s="621" t="str">
        <f>FHD_P_43</f>
        <v>Годовая бухгалтерская (финансовая) отчетность, включая бухгалтерский баланс и приложения к нему</v>
      </c>
      <c r="G95" s="1506" t="s">
        <v>298</v>
      </c>
      <c r="H95" s="942"/>
      <c r="I95" s="1985" t="s">
        <v>1741</v>
      </c>
      <c r="J95" s="207"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95" s="470"/>
      <c r="L95" s="1497"/>
      <c r="M95" s="1497"/>
      <c r="R95" s="1497"/>
      <c r="U95" s="471"/>
      <c r="AA95" s="1493"/>
      <c r="AB95" s="1493"/>
      <c r="AC95" s="1493"/>
      <c r="AD95" s="1493"/>
      <c r="AE95" s="1493"/>
    </row>
    <row r="96" spans="1:31" s="1759" customFormat="1" ht="18.75" hidden="1" customHeight="1">
      <c r="A96" s="2343" t="s">
        <v>1742</v>
      </c>
      <c r="C96" s="650"/>
      <c r="D96" s="648"/>
      <c r="E96" s="473" t="str">
        <f>FHD_NUM_P_44</f>
        <v/>
      </c>
      <c r="F96" s="621" t="str">
        <f>FHD_P_44</f>
        <v/>
      </c>
      <c r="G96" s="635" t="s">
        <v>1743</v>
      </c>
      <c r="H96" s="871"/>
      <c r="I96" s="504"/>
      <c r="J96" s="207" t="str">
        <f>FHD_NOTE_P_44</f>
        <v/>
      </c>
      <c r="K96" s="649"/>
      <c r="L96" s="650"/>
      <c r="M96" s="650"/>
      <c r="R96" s="650"/>
      <c r="U96" s="651"/>
      <c r="AA96" s="652"/>
      <c r="AB96" s="652"/>
      <c r="AC96" s="652"/>
      <c r="AD96" s="652"/>
      <c r="AE96" s="652"/>
    </row>
    <row r="97" spans="1:31" s="1759" customFormat="1" ht="18.75" hidden="1" customHeight="1">
      <c r="A97" s="2343"/>
      <c r="C97" s="650"/>
      <c r="D97" s="648"/>
      <c r="E97" s="473" t="str">
        <f>FHD_NUM_P_45</f>
        <v/>
      </c>
      <c r="F97" s="621" t="str">
        <f>FHD_P_45</f>
        <v/>
      </c>
      <c r="G97" s="635" t="s">
        <v>1743</v>
      </c>
      <c r="H97" s="871"/>
      <c r="I97" s="504"/>
      <c r="J97" s="207" t="str">
        <f>FHD_NOTE_P_45</f>
        <v/>
      </c>
      <c r="K97" s="649"/>
      <c r="L97" s="650"/>
      <c r="M97" s="650"/>
      <c r="R97" s="650"/>
      <c r="U97" s="651"/>
      <c r="AA97" s="652"/>
      <c r="AB97" s="652"/>
      <c r="AC97" s="652"/>
      <c r="AD97" s="652"/>
      <c r="AE97" s="652"/>
    </row>
    <row r="98" spans="1:31" s="1759" customFormat="1" ht="18.75" hidden="1" customHeight="1">
      <c r="A98" s="2343"/>
      <c r="C98" s="650"/>
      <c r="D98" s="653"/>
      <c r="E98" s="473" t="str">
        <f>FHD_NUM_P_46</f>
        <v/>
      </c>
      <c r="F98" s="621" t="str">
        <f>FHD_P_46</f>
        <v/>
      </c>
      <c r="G98" s="635" t="s">
        <v>1743</v>
      </c>
      <c r="H98" s="871"/>
      <c r="I98" s="504"/>
      <c r="J98" s="207" t="str">
        <f>FHD_NOTE_P_46</f>
        <v/>
      </c>
      <c r="K98" s="649"/>
      <c r="L98" s="650"/>
      <c r="M98" s="650"/>
      <c r="R98" s="650"/>
      <c r="U98" s="651"/>
      <c r="AA98" s="652"/>
      <c r="AB98" s="652"/>
      <c r="AC98" s="652"/>
      <c r="AD98" s="652"/>
      <c r="AE98" s="652"/>
    </row>
    <row r="99" spans="1:31" s="1759" customFormat="1" ht="18.75" hidden="1" customHeight="1">
      <c r="A99" s="2343"/>
      <c r="C99" s="650"/>
      <c r="D99" s="648"/>
      <c r="E99" s="473" t="str">
        <f>FHD_NUM_P_47</f>
        <v/>
      </c>
      <c r="F99" s="621" t="str">
        <f>FHD_P_47</f>
        <v/>
      </c>
      <c r="G99" s="635" t="s">
        <v>1743</v>
      </c>
      <c r="H99" s="871"/>
      <c r="I99" s="504"/>
      <c r="J99" s="207" t="str">
        <f>FHD_NOTE_P_47</f>
        <v/>
      </c>
      <c r="K99" s="649"/>
      <c r="L99" s="650"/>
      <c r="M99" s="650"/>
      <c r="R99" s="650"/>
      <c r="U99" s="651"/>
      <c r="AA99" s="652"/>
      <c r="AB99" s="652"/>
      <c r="AC99" s="652"/>
      <c r="AD99" s="652"/>
      <c r="AE99" s="652"/>
    </row>
    <row r="100" spans="1:31" s="1846" customFormat="1" ht="18.75" hidden="1" customHeight="1">
      <c r="A100" s="2343"/>
      <c r="B100" s="811"/>
      <c r="C100" s="650"/>
      <c r="D100" s="648"/>
      <c r="E100" s="473" t="str">
        <f>FHD_NUM_P_48</f>
        <v/>
      </c>
      <c r="F100" s="621" t="str">
        <f>FHD_P_48</f>
        <v/>
      </c>
      <c r="G100" s="635" t="s">
        <v>1743</v>
      </c>
      <c r="H100" s="871"/>
      <c r="I100" s="504"/>
      <c r="J100" s="207" t="str">
        <f>FHD_NOTE_P_48</f>
        <v/>
      </c>
      <c r="K100" s="649"/>
      <c r="L100" s="650"/>
      <c r="M100" s="650"/>
      <c r="N100" s="811"/>
      <c r="O100" s="811"/>
      <c r="P100" s="811"/>
      <c r="Q100" s="811"/>
      <c r="R100" s="650"/>
      <c r="S100" s="811"/>
      <c r="T100" s="811"/>
      <c r="U100" s="651"/>
      <c r="V100" s="811"/>
      <c r="W100" s="811"/>
      <c r="X100" s="811"/>
      <c r="Y100" s="811"/>
      <c r="Z100" s="811"/>
      <c r="AA100" s="652"/>
      <c r="AB100" s="652"/>
      <c r="AC100" s="652"/>
      <c r="AD100" s="652"/>
      <c r="AE100" s="652"/>
    </row>
    <row r="101" spans="1:31" s="1846" customFormat="1" ht="18.75" hidden="1" customHeight="1">
      <c r="A101" s="2343"/>
      <c r="B101" s="811"/>
      <c r="C101" s="650"/>
      <c r="D101" s="648"/>
      <c r="E101" s="473" t="str">
        <f>FHD_NUM_P_49</f>
        <v/>
      </c>
      <c r="F101" s="621" t="str">
        <f>FHD_P_49</f>
        <v/>
      </c>
      <c r="G101" s="635" t="s">
        <v>1743</v>
      </c>
      <c r="H101" s="872">
        <f>SUM(H102:H103)</f>
        <v>0</v>
      </c>
      <c r="I101" s="663">
        <f>SUM(I102:I103)</f>
        <v>0</v>
      </c>
      <c r="J101" s="207" t="str">
        <f>FHD_NOTE_P_49</f>
        <v/>
      </c>
      <c r="K101" s="649"/>
      <c r="L101" s="650"/>
      <c r="M101" s="650"/>
      <c r="N101" s="811"/>
      <c r="O101" s="811"/>
      <c r="P101" s="811"/>
      <c r="Q101" s="811"/>
      <c r="R101" s="650"/>
      <c r="S101" s="811"/>
      <c r="T101" s="811"/>
      <c r="U101" s="651"/>
      <c r="V101" s="811"/>
      <c r="W101" s="811"/>
      <c r="X101" s="811"/>
      <c r="Y101" s="811"/>
      <c r="Z101" s="811"/>
      <c r="AA101" s="652"/>
      <c r="AB101" s="652"/>
      <c r="AC101" s="652"/>
      <c r="AD101" s="652"/>
      <c r="AE101" s="652"/>
    </row>
    <row r="102" spans="1:31" s="1846" customFormat="1" ht="18.75" hidden="1" customHeight="1">
      <c r="A102" s="2343"/>
      <c r="B102" s="811"/>
      <c r="C102" s="650"/>
      <c r="D102" s="648"/>
      <c r="E102" s="473" t="str">
        <f>FHD_NUM_P_50</f>
        <v/>
      </c>
      <c r="F102" s="621" t="str">
        <f>FHD_P_50</f>
        <v/>
      </c>
      <c r="G102" s="635" t="s">
        <v>1743</v>
      </c>
      <c r="H102" s="871"/>
      <c r="I102" s="504"/>
      <c r="J102" s="207" t="str">
        <f>FHD_NOTE_P_50</f>
        <v/>
      </c>
      <c r="K102" s="649"/>
      <c r="L102" s="650"/>
      <c r="M102" s="650"/>
      <c r="N102" s="811"/>
      <c r="O102" s="811"/>
      <c r="P102" s="811"/>
      <c r="Q102" s="811"/>
      <c r="R102" s="650"/>
      <c r="S102" s="811"/>
      <c r="T102" s="811"/>
      <c r="U102" s="651"/>
      <c r="V102" s="811"/>
      <c r="W102" s="811"/>
      <c r="X102" s="811"/>
      <c r="Y102" s="811"/>
      <c r="Z102" s="811"/>
      <c r="AA102" s="652"/>
      <c r="AB102" s="652"/>
      <c r="AC102" s="652"/>
      <c r="AD102" s="652"/>
      <c r="AE102" s="652"/>
    </row>
    <row r="103" spans="1:31" s="1846" customFormat="1" ht="18.75" hidden="1" customHeight="1">
      <c r="A103" s="2343"/>
      <c r="B103" s="811"/>
      <c r="C103" s="650"/>
      <c r="D103" s="648"/>
      <c r="E103" s="473" t="str">
        <f>FHD_NUM_P_51</f>
        <v/>
      </c>
      <c r="F103" s="621" t="str">
        <f>FHD_P_51</f>
        <v/>
      </c>
      <c r="G103" s="635" t="s">
        <v>1743</v>
      </c>
      <c r="H103" s="871"/>
      <c r="I103" s="504"/>
      <c r="J103" s="207" t="str">
        <f>FHD_NOTE_P_51</f>
        <v/>
      </c>
      <c r="K103" s="649"/>
      <c r="L103" s="650"/>
      <c r="M103" s="650"/>
      <c r="N103" s="811"/>
      <c r="O103" s="811"/>
      <c r="P103" s="811"/>
      <c r="Q103" s="811"/>
      <c r="R103" s="650"/>
      <c r="S103" s="811"/>
      <c r="T103" s="811"/>
      <c r="U103" s="651"/>
      <c r="V103" s="811"/>
      <c r="W103" s="811"/>
      <c r="X103" s="811"/>
      <c r="Y103" s="811"/>
      <c r="Z103" s="811"/>
      <c r="AA103" s="652"/>
      <c r="AB103" s="652"/>
      <c r="AC103" s="652"/>
      <c r="AD103" s="652"/>
      <c r="AE103" s="652"/>
    </row>
    <row r="104" spans="1:31" s="1846" customFormat="1" ht="18.75" hidden="1" customHeight="1">
      <c r="A104" s="2343"/>
      <c r="B104" s="811"/>
      <c r="C104" s="650"/>
      <c r="D104" s="648"/>
      <c r="E104" s="473" t="str">
        <f>FHD_NUM_P_52</f>
        <v/>
      </c>
      <c r="F104" s="621" t="str">
        <f>FHD_P_52</f>
        <v/>
      </c>
      <c r="G104" s="635" t="s">
        <v>1618</v>
      </c>
      <c r="H104" s="870"/>
      <c r="I104" s="484"/>
      <c r="J104" s="207" t="str">
        <f>FHD_NOTE_P_52</f>
        <v/>
      </c>
      <c r="K104" s="649"/>
      <c r="L104" s="650"/>
      <c r="M104" s="650"/>
      <c r="N104" s="811"/>
      <c r="O104" s="811"/>
      <c r="P104" s="811"/>
      <c r="Q104" s="811"/>
      <c r="R104" s="650"/>
      <c r="S104" s="811"/>
      <c r="T104" s="811"/>
      <c r="U104" s="651"/>
      <c r="V104" s="811"/>
      <c r="W104" s="811"/>
      <c r="X104" s="811"/>
      <c r="Y104" s="811"/>
      <c r="Z104" s="811"/>
      <c r="AA104" s="652"/>
      <c r="AB104" s="652"/>
      <c r="AC104" s="652"/>
      <c r="AD104" s="652"/>
      <c r="AE104" s="652"/>
    </row>
    <row r="105" spans="1:31" s="1759" customFormat="1" ht="18.75" hidden="1" customHeight="1">
      <c r="A105" s="2343" t="s">
        <v>1744</v>
      </c>
      <c r="C105" s="650"/>
      <c r="D105" s="648"/>
      <c r="E105" s="473" t="str">
        <f>FHD_NUM_P_53</f>
        <v/>
      </c>
      <c r="F105" s="621" t="str">
        <f>FHD_P_53</f>
        <v/>
      </c>
      <c r="G105" s="635" t="s">
        <v>1743</v>
      </c>
      <c r="H105" s="871"/>
      <c r="I105" s="504"/>
      <c r="J105" s="207" t="str">
        <f>FHD_NOTE_P_53</f>
        <v/>
      </c>
      <c r="K105" s="649"/>
      <c r="L105" s="650"/>
      <c r="M105" s="650"/>
      <c r="R105" s="650"/>
      <c r="U105" s="651"/>
      <c r="AA105" s="652"/>
      <c r="AB105" s="652"/>
      <c r="AC105" s="652"/>
      <c r="AD105" s="652"/>
      <c r="AE105" s="652"/>
    </row>
    <row r="106" spans="1:31" s="1759" customFormat="1" ht="18.75" hidden="1" customHeight="1">
      <c r="A106" s="2343"/>
      <c r="C106" s="650"/>
      <c r="D106" s="648"/>
      <c r="E106" s="473" t="str">
        <f>FHD_NUM_P_54</f>
        <v/>
      </c>
      <c r="F106" s="621" t="str">
        <f>FHD_P_54</f>
        <v/>
      </c>
      <c r="G106" s="635" t="s">
        <v>1743</v>
      </c>
      <c r="H106" s="871"/>
      <c r="I106" s="504"/>
      <c r="J106" s="207" t="str">
        <f>FHD_NOTE_P_54</f>
        <v/>
      </c>
      <c r="K106" s="649"/>
      <c r="L106" s="650"/>
      <c r="M106" s="650"/>
      <c r="R106" s="650"/>
      <c r="U106" s="651"/>
      <c r="AA106" s="652"/>
      <c r="AB106" s="652"/>
      <c r="AC106" s="652"/>
      <c r="AD106" s="652"/>
      <c r="AE106" s="652"/>
    </row>
    <row r="107" spans="1:31" s="1759" customFormat="1" ht="18.75" hidden="1" customHeight="1">
      <c r="A107" s="2343"/>
      <c r="C107" s="650"/>
      <c r="D107" s="653"/>
      <c r="E107" s="473" t="str">
        <f>FHD_NUM_P_55</f>
        <v/>
      </c>
      <c r="F107" s="621" t="str">
        <f>FHD_P_55</f>
        <v/>
      </c>
      <c r="G107" s="787"/>
      <c r="H107" s="871"/>
      <c r="I107" s="504"/>
      <c r="J107" s="207" t="str">
        <f>FHD_NOTE_P_55</f>
        <v/>
      </c>
      <c r="K107" s="649"/>
      <c r="L107" s="650"/>
      <c r="M107" s="650"/>
      <c r="R107" s="650"/>
      <c r="U107" s="651"/>
      <c r="AA107" s="652"/>
      <c r="AB107" s="652"/>
      <c r="AC107" s="652"/>
      <c r="AD107" s="652"/>
      <c r="AE107" s="652"/>
    </row>
    <row r="108" spans="1:31" s="1759" customFormat="1" ht="18.75" hidden="1" customHeight="1">
      <c r="A108" s="2343"/>
      <c r="C108" s="650"/>
      <c r="D108" s="648"/>
      <c r="E108" s="473" t="str">
        <f>FHD_NUM_P_56</f>
        <v/>
      </c>
      <c r="F108" s="621" t="str">
        <f>FHD_P_56</f>
        <v/>
      </c>
      <c r="G108" s="635" t="s">
        <v>1016</v>
      </c>
      <c r="H108" s="871"/>
      <c r="I108" s="504"/>
      <c r="J108" s="207" t="str">
        <f>FHD_NOTE_P_56</f>
        <v/>
      </c>
      <c r="K108" s="649"/>
      <c r="L108" s="650"/>
      <c r="M108" s="650"/>
      <c r="R108" s="650"/>
      <c r="U108" s="651"/>
      <c r="AA108" s="652"/>
      <c r="AB108" s="652"/>
      <c r="AC108" s="652"/>
      <c r="AD108" s="652"/>
      <c r="AE108" s="652"/>
    </row>
    <row r="109" spans="1:31" s="1846" customFormat="1" ht="18.75" hidden="1" customHeight="1">
      <c r="A109" s="2343"/>
      <c r="B109" s="811"/>
      <c r="C109" s="650"/>
      <c r="D109" s="648"/>
      <c r="E109" s="473" t="str">
        <f>FHD_NUM_P_57</f>
        <v/>
      </c>
      <c r="F109" s="621" t="str">
        <f>FHD_P_57</f>
        <v/>
      </c>
      <c r="G109" s="635" t="s">
        <v>1618</v>
      </c>
      <c r="H109" s="870"/>
      <c r="I109" s="484"/>
      <c r="J109" s="207" t="str">
        <f>FHD_NOTE_P_57</f>
        <v/>
      </c>
      <c r="K109" s="649"/>
      <c r="L109" s="650"/>
      <c r="M109" s="650"/>
      <c r="N109" s="811"/>
      <c r="O109" s="811"/>
      <c r="P109" s="811"/>
      <c r="Q109" s="811"/>
      <c r="R109" s="650"/>
      <c r="S109" s="811"/>
      <c r="T109" s="811"/>
      <c r="U109" s="651"/>
      <c r="V109" s="811"/>
      <c r="W109" s="811"/>
      <c r="X109" s="811"/>
      <c r="Y109" s="811"/>
      <c r="Z109" s="811"/>
      <c r="AA109" s="652"/>
      <c r="AB109" s="652"/>
      <c r="AC109" s="652"/>
      <c r="AD109" s="652"/>
      <c r="AE109" s="652"/>
    </row>
    <row r="110" spans="1:31" ht="18.75" hidden="1" customHeight="1">
      <c r="A110" s="2343" t="s">
        <v>1745</v>
      </c>
      <c r="D110" s="1499"/>
      <c r="E110" s="473" t="str">
        <f>FHD_NUM_P_58</f>
        <v/>
      </c>
      <c r="F110" s="621" t="str">
        <f>FHD_P_58</f>
        <v/>
      </c>
      <c r="G110" s="635" t="s">
        <v>1743</v>
      </c>
      <c r="H110" s="871"/>
      <c r="I110" s="504"/>
      <c r="J110" s="207" t="str">
        <f>FHD_NOTE_P_58</f>
        <v/>
      </c>
      <c r="K110" s="470"/>
    </row>
    <row r="111" spans="1:31" ht="18.75" hidden="1" customHeight="1">
      <c r="A111" s="2343"/>
      <c r="D111" s="1499"/>
      <c r="E111" s="473" t="str">
        <f>FHD_NUM_P_59</f>
        <v/>
      </c>
      <c r="F111" s="621" t="str">
        <f>FHD_P_59</f>
        <v/>
      </c>
      <c r="G111" s="635" t="s">
        <v>1743</v>
      </c>
      <c r="H111" s="871"/>
      <c r="I111" s="504"/>
      <c r="J111" s="207" t="str">
        <f>FHD_NOTE_P_59</f>
        <v/>
      </c>
      <c r="K111" s="470"/>
    </row>
    <row r="112" spans="1:31" ht="18.75" hidden="1" customHeight="1">
      <c r="A112" s="2343"/>
      <c r="D112" s="1499"/>
      <c r="E112" s="473" t="str">
        <f>FHD_NUM_P_60</f>
        <v/>
      </c>
      <c r="F112" s="621" t="str">
        <f>FHD_P_60</f>
        <v/>
      </c>
      <c r="G112" s="635" t="s">
        <v>1743</v>
      </c>
      <c r="H112" s="871"/>
      <c r="I112" s="504"/>
      <c r="J112" s="207" t="str">
        <f>FHD_NOTE_P_60</f>
        <v/>
      </c>
      <c r="K112" s="470"/>
    </row>
    <row r="113" spans="1:31" s="1759" customFormat="1" ht="57" customHeight="1">
      <c r="A113" s="2343" t="s">
        <v>1746</v>
      </c>
      <c r="C113" s="1497"/>
      <c r="D113" s="1499"/>
      <c r="E113" s="473" t="str">
        <f>FHD_NUM_P_61</f>
        <v>7</v>
      </c>
      <c r="F113" s="62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113" s="1506" t="s">
        <v>801</v>
      </c>
      <c r="H113" s="873"/>
      <c r="I113" s="656">
        <f>I115+I116</f>
        <v>2172</v>
      </c>
      <c r="J113" s="207"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113" s="470"/>
      <c r="L113" s="1497"/>
      <c r="M113" s="1497"/>
      <c r="R113" s="1497"/>
      <c r="U113" s="471"/>
      <c r="AA113" s="1493"/>
      <c r="AB113" s="1493"/>
      <c r="AC113" s="1493"/>
      <c r="AD113" s="1493"/>
      <c r="AE113" s="1493"/>
    </row>
    <row r="114" spans="1:31" s="1772" customFormat="1" ht="0.75" customHeight="1">
      <c r="A114" s="2343"/>
      <c r="D114" s="475"/>
      <c r="E114" s="709" t="str">
        <f>E113&amp;".0"</f>
        <v>7.0</v>
      </c>
      <c r="F114" s="887"/>
      <c r="G114" s="888"/>
      <c r="H114" s="885"/>
      <c r="I114" s="885"/>
      <c r="J114" s="889"/>
    </row>
    <row r="115" spans="1:31" s="1753" customFormat="1" ht="18.75" customHeight="1">
      <c r="A115" s="2344"/>
      <c r="B115" s="1759"/>
      <c r="C115" s="1772"/>
      <c r="D115" s="1704" t="s">
        <v>1109</v>
      </c>
      <c r="E115" s="1708" t="str">
        <f>E113&amp;".1"</f>
        <v>7.1</v>
      </c>
      <c r="F115" s="1763" t="s">
        <v>1747</v>
      </c>
      <c r="G115" s="1761" t="s">
        <v>801</v>
      </c>
      <c r="H115" s="1715"/>
      <c r="I115" s="1715">
        <v>1812</v>
      </c>
      <c r="J115" s="1912" t="s">
        <v>1722</v>
      </c>
      <c r="K115" s="1722"/>
      <c r="L115" s="1772"/>
      <c r="M115" s="1772"/>
      <c r="N115" s="1759"/>
      <c r="O115" s="1759"/>
      <c r="P115" s="1759"/>
      <c r="Q115" s="1759"/>
      <c r="R115" s="1772"/>
      <c r="S115" s="1759"/>
      <c r="T115" s="1759"/>
      <c r="U115" s="1723"/>
      <c r="V115" s="1759"/>
      <c r="W115" s="1759"/>
      <c r="X115" s="1759"/>
      <c r="Y115" s="1759"/>
      <c r="Z115" s="1759"/>
      <c r="AA115" s="1741"/>
      <c r="AB115" s="1741"/>
      <c r="AC115" s="1741"/>
      <c r="AD115" s="1741"/>
      <c r="AE115" s="1741"/>
    </row>
    <row r="116" spans="1:31" s="1753" customFormat="1" ht="18.75" customHeight="1">
      <c r="A116" s="2344"/>
      <c r="B116" s="1759"/>
      <c r="C116" s="1772"/>
      <c r="D116" s="1704" t="s">
        <v>1109</v>
      </c>
      <c r="E116" s="1708" t="str">
        <f>E113&amp;".2"</f>
        <v>7.2</v>
      </c>
      <c r="F116" s="1763" t="s">
        <v>1748</v>
      </c>
      <c r="G116" s="1761" t="s">
        <v>801</v>
      </c>
      <c r="H116" s="1715"/>
      <c r="I116" s="1715">
        <v>360</v>
      </c>
      <c r="J116" s="1912" t="s">
        <v>1722</v>
      </c>
      <c r="K116" s="1722"/>
      <c r="L116" s="1772"/>
      <c r="M116" s="1772"/>
      <c r="N116" s="1759"/>
      <c r="O116" s="1759"/>
      <c r="P116" s="1759"/>
      <c r="Q116" s="1759"/>
      <c r="R116" s="1772"/>
      <c r="S116" s="1759"/>
      <c r="T116" s="1759"/>
      <c r="U116" s="1723"/>
      <c r="V116" s="1759"/>
      <c r="W116" s="1759"/>
      <c r="X116" s="1759"/>
      <c r="Y116" s="1759"/>
      <c r="Z116" s="1759"/>
      <c r="AA116" s="1741"/>
      <c r="AB116" s="1741"/>
      <c r="AC116" s="1741"/>
      <c r="AD116" s="1741"/>
      <c r="AE116" s="1741"/>
    </row>
    <row r="117" spans="1:31" ht="15" customHeight="1">
      <c r="A117" s="2343"/>
      <c r="D117" s="1494"/>
      <c r="E117" s="865"/>
      <c r="F117" s="866" t="s">
        <v>1556</v>
      </c>
      <c r="G117" s="499"/>
      <c r="H117" s="500"/>
      <c r="I117" s="500"/>
      <c r="J117" s="896" t="s">
        <v>1749</v>
      </c>
      <c r="K117" s="470"/>
    </row>
    <row r="118" spans="1:31" s="1759" customFormat="1" ht="45.75" customHeight="1">
      <c r="A118" s="2343"/>
      <c r="C118" s="1497"/>
      <c r="D118" s="1499"/>
      <c r="E118" s="473" t="str">
        <f>FHD_NUM_P_62</f>
        <v>8</v>
      </c>
      <c r="F118" s="621" t="str">
        <f>FHD_P_62</f>
        <v>Тепловая нагрузка по договорам, заключенным в рамках осуществления регулируемых видов деятельности</v>
      </c>
      <c r="G118" s="1503" t="s">
        <v>801</v>
      </c>
      <c r="H118" s="484"/>
      <c r="I118" s="484">
        <v>1929.35</v>
      </c>
      <c r="J118" s="207"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18" s="470"/>
      <c r="L118" s="1497"/>
      <c r="M118" s="1497"/>
      <c r="R118" s="1497"/>
      <c r="U118" s="471"/>
      <c r="AA118" s="1493"/>
      <c r="AB118" s="1493"/>
      <c r="AC118" s="1493"/>
      <c r="AD118" s="1493"/>
      <c r="AE118" s="1493"/>
    </row>
    <row r="119" spans="1:31" s="1759" customFormat="1" ht="45.75" customHeight="1">
      <c r="A119" s="2343"/>
      <c r="C119" s="1497"/>
      <c r="D119" s="1499"/>
      <c r="E119" s="473" t="str">
        <f>FHD_NUM_P_63</f>
        <v>9</v>
      </c>
      <c r="F119" s="621" t="str">
        <f>FHD_P_63</f>
        <v>Объем вырабатываемой регулируемой организацией тепловой энергии в рамках осуществления регулируемых видов деятельности</v>
      </c>
      <c r="G119" s="1503" t="s">
        <v>1016</v>
      </c>
      <c r="H119" s="504"/>
      <c r="I119" s="504">
        <v>2927.3766000000001</v>
      </c>
      <c r="J119" s="207"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19" s="470"/>
      <c r="L119" s="1497"/>
      <c r="M119" s="1497"/>
      <c r="R119" s="1497"/>
      <c r="U119" s="471"/>
      <c r="AA119" s="1493"/>
      <c r="AB119" s="1493"/>
      <c r="AC119" s="1493"/>
      <c r="AD119" s="1493"/>
      <c r="AE119" s="1493"/>
    </row>
    <row r="120" spans="1:31" s="1759" customFormat="1" ht="35.25" customHeight="1">
      <c r="A120" s="2343"/>
      <c r="C120" s="1497" t="s">
        <v>1750</v>
      </c>
      <c r="D120" s="1499"/>
      <c r="E120" s="473" t="str">
        <f>FHD_NUM_P_64</f>
        <v>9.1</v>
      </c>
      <c r="F120" s="621" t="str">
        <f>FHD_P_64</f>
        <v>Объем приобретаемой регулируемой организацией тепловой энергии в рамках осуществления регулируемых видов деятельности</v>
      </c>
      <c r="G120" s="1503" t="s">
        <v>1016</v>
      </c>
      <c r="H120" s="472"/>
      <c r="I120" s="472" t="s">
        <v>17</v>
      </c>
      <c r="J120" s="207" t="str">
        <f>FHD_NOTE_P_64</f>
        <v>Информация указывается только едиными теплоснабжающими организациями.</v>
      </c>
      <c r="K120" s="470"/>
      <c r="L120" s="1497"/>
      <c r="M120" s="1497"/>
      <c r="R120" s="1497"/>
      <c r="U120" s="471"/>
      <c r="AA120" s="1493"/>
      <c r="AB120" s="1493"/>
      <c r="AC120" s="1493"/>
      <c r="AD120" s="1493"/>
      <c r="AE120" s="1493"/>
    </row>
    <row r="121" spans="1:31" s="1759" customFormat="1" ht="95.25" customHeight="1">
      <c r="A121" s="2343"/>
      <c r="C121" s="1497"/>
      <c r="D121" s="1499"/>
      <c r="E121" s="473" t="str">
        <f>FHD_NUM_P_65</f>
        <v>10</v>
      </c>
      <c r="F121" s="62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21" s="1503" t="s">
        <v>1016</v>
      </c>
      <c r="H121" s="504"/>
      <c r="I121" s="504">
        <v>2810.2876000000001</v>
      </c>
      <c r="J121" s="207"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21" s="470"/>
      <c r="L121" s="1497"/>
      <c r="M121" s="1497"/>
      <c r="R121" s="1497"/>
      <c r="U121" s="471"/>
      <c r="AA121" s="1493"/>
      <c r="AB121" s="1493"/>
      <c r="AC121" s="1493"/>
      <c r="AD121" s="1493"/>
      <c r="AE121" s="1493"/>
    </row>
    <row r="122" spans="1:31" s="1759" customFormat="1" ht="18.75" customHeight="1">
      <c r="A122" s="2343"/>
      <c r="C122" s="1497"/>
      <c r="D122" s="1499"/>
      <c r="E122" s="473" t="str">
        <f>FHD_NUM_P_66</f>
        <v>10.1</v>
      </c>
      <c r="F122" s="849" t="str">
        <f>FHD_P_66</f>
        <v xml:space="preserve">По приборам учёта </v>
      </c>
      <c r="G122" s="1503" t="s">
        <v>1016</v>
      </c>
      <c r="H122" s="504"/>
      <c r="I122" s="504">
        <v>1778.7094999999999</v>
      </c>
      <c r="J122" s="207" t="str">
        <f>FHD_NOTE_P_66</f>
        <v/>
      </c>
      <c r="K122" s="470"/>
      <c r="L122" s="1497"/>
      <c r="M122" s="1497"/>
      <c r="R122" s="1497"/>
      <c r="U122" s="471"/>
      <c r="AA122" s="1493"/>
      <c r="AB122" s="1493"/>
      <c r="AC122" s="1493"/>
      <c r="AD122" s="1493"/>
      <c r="AE122" s="1493"/>
    </row>
    <row r="123" spans="1:31" s="1759" customFormat="1" ht="69" customHeight="1">
      <c r="A123" s="2343"/>
      <c r="C123" s="1497"/>
      <c r="D123" s="1499"/>
      <c r="E123" s="473" t="str">
        <f>FHD_NUM_P_67</f>
        <v>10.1.1</v>
      </c>
      <c r="F123" s="151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23" s="1503" t="s">
        <v>1016</v>
      </c>
      <c r="H123" s="504"/>
      <c r="I123" s="504">
        <v>0</v>
      </c>
      <c r="J123" s="207" t="str">
        <f>FHD_NOTE_P_67</f>
        <v/>
      </c>
      <c r="K123" s="470"/>
      <c r="L123" s="1497"/>
      <c r="M123" s="1497"/>
      <c r="R123" s="1497"/>
      <c r="U123" s="471"/>
      <c r="AA123" s="1493"/>
      <c r="AB123" s="1493"/>
      <c r="AC123" s="1493"/>
      <c r="AD123" s="1493"/>
      <c r="AE123" s="1493"/>
    </row>
    <row r="124" spans="1:31" s="1759" customFormat="1" ht="18.75" customHeight="1">
      <c r="A124" s="2343"/>
      <c r="C124" s="1497"/>
      <c r="D124" s="1499"/>
      <c r="E124" s="473" t="str">
        <f>FHD_NUM_P_68</f>
        <v>10.2</v>
      </c>
      <c r="F124" s="849" t="str">
        <f>FHD_P_68</f>
        <v>Расчётным путём</v>
      </c>
      <c r="G124" s="1503" t="s">
        <v>1016</v>
      </c>
      <c r="H124" s="504"/>
      <c r="I124" s="504">
        <v>1029.1777999999999</v>
      </c>
      <c r="J124" s="207" t="str">
        <f>FHD_NOTE_P_68</f>
        <v/>
      </c>
      <c r="K124" s="470"/>
      <c r="L124" s="1497"/>
      <c r="M124" s="1497"/>
      <c r="R124" s="1497"/>
      <c r="U124" s="471"/>
      <c r="AA124" s="1493"/>
      <c r="AB124" s="1493"/>
      <c r="AC124" s="1493"/>
      <c r="AD124" s="1493"/>
      <c r="AE124" s="1493"/>
    </row>
    <row r="125" spans="1:31" s="1759" customFormat="1" ht="36.75" customHeight="1">
      <c r="A125" s="2343"/>
      <c r="C125" s="1497"/>
      <c r="D125" s="1499"/>
      <c r="E125" s="473" t="str">
        <f>FHD_NUM_P_69</f>
        <v>10.3</v>
      </c>
      <c r="F125" s="849" t="str">
        <f>FHD_P_69</f>
        <v>По нормативам потребления коммунальных услуг и нормативам потребления коммунальных ресурсов</v>
      </c>
      <c r="G125" s="1503" t="s">
        <v>1016</v>
      </c>
      <c r="H125" s="504"/>
      <c r="I125" s="504">
        <v>2.4003000000000001</v>
      </c>
      <c r="J125" s="207" t="str">
        <f>FHD_NOTE_P_69</f>
        <v/>
      </c>
      <c r="K125" s="470"/>
      <c r="L125" s="1497"/>
      <c r="M125" s="1497"/>
      <c r="R125" s="1497"/>
      <c r="U125" s="471"/>
      <c r="AA125" s="1493"/>
      <c r="AB125" s="1493"/>
      <c r="AC125" s="1493"/>
      <c r="AD125" s="1493"/>
      <c r="AE125" s="1493"/>
    </row>
    <row r="126" spans="1:31" s="1759" customFormat="1" ht="35.25" customHeight="1">
      <c r="A126" s="2343"/>
      <c r="C126" s="1497"/>
      <c r="D126" s="1499"/>
      <c r="E126" s="473" t="str">
        <f>FHD_NUM_P_70</f>
        <v>11</v>
      </c>
      <c r="F126" s="621" t="str">
        <f>FHD_P_70</f>
        <v>Нормативы технологических потерь при передаче тепловой энергии, теплоносителя по тепловым сетям, утвержденные уполномоченным органом</v>
      </c>
      <c r="G126" s="1503" t="s">
        <v>1751</v>
      </c>
      <c r="H126" s="484"/>
      <c r="I126" s="484">
        <v>477.82</v>
      </c>
      <c r="J126" s="207" t="str">
        <f>FHD_NOTE_P_70</f>
        <v/>
      </c>
      <c r="K126" s="470"/>
      <c r="L126" s="1497"/>
      <c r="M126" s="1497"/>
      <c r="R126" s="1497"/>
      <c r="U126" s="471"/>
      <c r="AA126" s="1493"/>
      <c r="AB126" s="1493"/>
      <c r="AC126" s="1493"/>
      <c r="AD126" s="1493"/>
      <c r="AE126" s="1493"/>
    </row>
    <row r="127" spans="1:31" s="1759" customFormat="1" ht="38.25" customHeight="1">
      <c r="A127" s="2343"/>
      <c r="C127" s="1497"/>
      <c r="D127" s="1499"/>
      <c r="E127" s="473" t="str">
        <f>FHD_NUM_P_71</f>
        <v>12</v>
      </c>
      <c r="F127" s="621" t="str">
        <f>FHD_P_71</f>
        <v>Фактический объем потерь при передаче тепловой энергии</v>
      </c>
      <c r="G127" s="1503" t="s">
        <v>1751</v>
      </c>
      <c r="H127" s="484"/>
      <c r="I127" s="484">
        <v>538.20000000000005</v>
      </c>
      <c r="J127" s="207" t="str">
        <f>FHD_NOTE_P_71</f>
        <v/>
      </c>
      <c r="K127" s="470"/>
      <c r="L127" s="1497"/>
      <c r="M127" s="1497"/>
      <c r="R127" s="1497"/>
      <c r="U127" s="471"/>
      <c r="AA127" s="1493"/>
      <c r="AB127" s="1493"/>
      <c r="AC127" s="1493"/>
      <c r="AD127" s="1493"/>
      <c r="AE127" s="1493"/>
    </row>
    <row r="128" spans="1:31" ht="30.75" customHeight="1">
      <c r="D128" s="1499"/>
      <c r="E128" s="473" t="str">
        <f>FHD_NUM_P_72</f>
        <v>13</v>
      </c>
      <c r="F128" s="621" t="str">
        <f>FHD_P_72</f>
        <v>Среднесписочная численность основного производственного персонала</v>
      </c>
      <c r="G128" s="863" t="s">
        <v>1752</v>
      </c>
      <c r="H128" s="504"/>
      <c r="I128" s="504">
        <f>675-I129</f>
        <v>655</v>
      </c>
      <c r="J128" s="207" t="str">
        <f>FHD_NOTE_P_72</f>
        <v/>
      </c>
      <c r="K128" s="470"/>
    </row>
    <row r="129" spans="1:31" ht="27.75" customHeight="1">
      <c r="A129" s="882" t="s">
        <v>1753</v>
      </c>
      <c r="D129" s="1499"/>
      <c r="E129" s="473" t="str">
        <f>FHD_NUM_P_73</f>
        <v>14</v>
      </c>
      <c r="F129" s="621" t="str">
        <f>FHD_P_73</f>
        <v>Среднесписочная численность административно-управленческого персонала</v>
      </c>
      <c r="G129" s="864" t="s">
        <v>1752</v>
      </c>
      <c r="H129" s="862"/>
      <c r="I129" s="862">
        <v>20</v>
      </c>
      <c r="J129" s="207" t="str">
        <f>FHD_NOTE_P_73</f>
        <v/>
      </c>
      <c r="K129" s="470"/>
    </row>
    <row r="130" spans="1:31" ht="33.75" hidden="1" customHeight="1">
      <c r="A130" s="882" t="s">
        <v>1754</v>
      </c>
      <c r="D130" s="1499"/>
      <c r="E130" s="473" t="str">
        <f>FHD_NUM_P_74</f>
        <v/>
      </c>
      <c r="F130" s="621" t="str">
        <f>FHD_P_74</f>
        <v/>
      </c>
      <c r="G130" s="863" t="s">
        <v>1755</v>
      </c>
      <c r="H130" s="504"/>
      <c r="I130" s="504"/>
      <c r="J130" s="207" t="str">
        <f>FHD_NOTE_P_74</f>
        <v/>
      </c>
      <c r="K130" s="470"/>
    </row>
    <row r="131" spans="1:31" s="1846" customFormat="1" ht="18.75" hidden="1" customHeight="1">
      <c r="A131" s="2343" t="s">
        <v>1756</v>
      </c>
      <c r="B131" s="811"/>
      <c r="C131" s="650"/>
      <c r="D131" s="648"/>
      <c r="E131" s="473" t="str">
        <f>FHD_NUM_P_75</f>
        <v/>
      </c>
      <c r="F131" s="621" t="str">
        <f>FHD_P_75</f>
        <v/>
      </c>
      <c r="G131" s="863" t="s">
        <v>1618</v>
      </c>
      <c r="H131" s="484"/>
      <c r="I131" s="484"/>
      <c r="J131" s="207" t="str">
        <f>FHD_NOTE_P_75</f>
        <v/>
      </c>
      <c r="K131" s="649"/>
      <c r="L131" s="650"/>
      <c r="M131" s="650"/>
      <c r="N131" s="811"/>
      <c r="O131" s="811"/>
      <c r="P131" s="811"/>
      <c r="Q131" s="811"/>
      <c r="R131" s="650"/>
      <c r="S131" s="811"/>
      <c r="T131" s="811"/>
      <c r="U131" s="651"/>
      <c r="V131" s="811"/>
      <c r="W131" s="811"/>
      <c r="X131" s="811"/>
      <c r="Y131" s="811"/>
      <c r="Z131" s="811"/>
      <c r="AA131" s="652"/>
      <c r="AB131" s="652"/>
      <c r="AC131" s="652"/>
      <c r="AD131" s="652"/>
      <c r="AE131" s="652"/>
    </row>
    <row r="132" spans="1:31" s="1846" customFormat="1" ht="18.75" hidden="1" customHeight="1">
      <c r="A132" s="2343"/>
      <c r="B132" s="811"/>
      <c r="C132" s="650"/>
      <c r="D132" s="648"/>
      <c r="E132" s="473" t="str">
        <f>FHD_NUM_P_76</f>
        <v/>
      </c>
      <c r="F132" s="621" t="str">
        <f>FHD_P_76</f>
        <v/>
      </c>
      <c r="G132" s="863" t="s">
        <v>1618</v>
      </c>
      <c r="H132" s="484"/>
      <c r="I132" s="484"/>
      <c r="J132" s="207" t="str">
        <f>FHD_NOTE_P_76</f>
        <v/>
      </c>
      <c r="K132" s="649"/>
      <c r="L132" s="650"/>
      <c r="M132" s="650"/>
      <c r="N132" s="811"/>
      <c r="O132" s="811"/>
      <c r="P132" s="811"/>
      <c r="Q132" s="811"/>
      <c r="R132" s="650"/>
      <c r="S132" s="811"/>
      <c r="T132" s="811"/>
      <c r="U132" s="651"/>
      <c r="V132" s="811"/>
      <c r="W132" s="811"/>
      <c r="X132" s="811"/>
      <c r="Y132" s="811"/>
      <c r="Z132" s="811"/>
      <c r="AA132" s="652"/>
      <c r="AB132" s="652"/>
      <c r="AC132" s="652"/>
      <c r="AD132" s="652"/>
      <c r="AE132" s="652"/>
    </row>
    <row r="133" spans="1:31" s="1846" customFormat="1" ht="18.75" hidden="1" customHeight="1">
      <c r="A133" s="2343"/>
      <c r="B133" s="811"/>
      <c r="C133" s="650"/>
      <c r="D133" s="648"/>
      <c r="E133" s="473" t="str">
        <f>FHD_NUM_P_77</f>
        <v/>
      </c>
      <c r="F133" s="621" t="str">
        <f>FHD_P_77</f>
        <v/>
      </c>
      <c r="G133" s="863" t="s">
        <v>1618</v>
      </c>
      <c r="H133" s="484"/>
      <c r="I133" s="484"/>
      <c r="J133" s="207" t="str">
        <f>FHD_NOTE_P_77</f>
        <v/>
      </c>
      <c r="K133" s="649"/>
      <c r="L133" s="650"/>
      <c r="M133" s="650"/>
      <c r="N133" s="811"/>
      <c r="O133" s="811"/>
      <c r="P133" s="811"/>
      <c r="Q133" s="811"/>
      <c r="R133" s="650"/>
      <c r="S133" s="811"/>
      <c r="T133" s="811"/>
      <c r="U133" s="651"/>
      <c r="V133" s="811"/>
      <c r="W133" s="811"/>
      <c r="X133" s="811"/>
      <c r="Y133" s="811"/>
      <c r="Z133" s="811"/>
      <c r="AA133" s="652"/>
      <c r="AB133" s="652"/>
      <c r="AC133" s="652"/>
      <c r="AD133" s="652"/>
      <c r="AE133" s="652"/>
    </row>
    <row r="134" spans="1:31" s="1772" customFormat="1" ht="0.75" hidden="1" customHeight="1">
      <c r="A134" s="2343"/>
      <c r="D134" s="475"/>
      <c r="E134" s="709" t="str">
        <f>E133&amp;".0"</f>
        <v>.0</v>
      </c>
      <c r="F134" s="890"/>
      <c r="G134" s="1511"/>
      <c r="H134" s="885"/>
      <c r="I134" s="885"/>
      <c r="J134" s="889"/>
    </row>
    <row r="135" spans="1:31" s="1846" customFormat="1" ht="15" hidden="1" customHeight="1">
      <c r="A135" s="2343"/>
      <c r="B135" s="811"/>
      <c r="C135" s="650"/>
      <c r="D135" s="660"/>
      <c r="E135" s="867"/>
      <c r="F135" s="868" t="s">
        <v>1757</v>
      </c>
      <c r="G135" s="661"/>
      <c r="H135" s="662"/>
      <c r="I135" s="662"/>
      <c r="J135" s="895" t="s">
        <v>1758</v>
      </c>
      <c r="K135" s="649"/>
      <c r="L135" s="650"/>
      <c r="M135" s="650"/>
      <c r="N135" s="811"/>
      <c r="O135" s="811"/>
      <c r="P135" s="811"/>
      <c r="Q135" s="811"/>
      <c r="R135" s="650"/>
      <c r="S135" s="811"/>
      <c r="T135" s="811"/>
      <c r="U135" s="651"/>
      <c r="V135" s="811"/>
      <c r="W135" s="811"/>
      <c r="X135" s="811"/>
      <c r="Y135" s="811"/>
      <c r="Z135" s="811"/>
      <c r="AA135" s="652"/>
      <c r="AB135" s="652"/>
      <c r="AC135" s="652"/>
      <c r="AD135" s="652"/>
      <c r="AE135" s="652"/>
    </row>
    <row r="136" spans="1:31" ht="66" customHeight="1">
      <c r="A136" s="2343" t="s">
        <v>1759</v>
      </c>
      <c r="D136" s="1499"/>
      <c r="E136" s="473" t="str">
        <f>FHD_NUM_P_78</f>
        <v>15</v>
      </c>
      <c r="F136" s="62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36" s="1503" t="s">
        <v>1724</v>
      </c>
      <c r="H136" s="504"/>
      <c r="I136" s="504">
        <v>0</v>
      </c>
      <c r="J136" s="207" t="str">
        <f>FHD_NOTE_P_78</f>
        <v/>
      </c>
      <c r="K136" s="470"/>
    </row>
    <row r="137" spans="1:31" s="1772" customFormat="1" ht="0.75" customHeight="1">
      <c r="A137" s="2343"/>
      <c r="D137" s="475"/>
      <c r="E137" s="709" t="str">
        <f>E136&amp;".0"</f>
        <v>15.0</v>
      </c>
      <c r="F137" s="890"/>
      <c r="G137" s="1511"/>
      <c r="H137" s="885"/>
      <c r="I137" s="885"/>
      <c r="J137" s="889"/>
    </row>
    <row r="138" spans="1:31" s="1753" customFormat="1" ht="18" customHeight="1">
      <c r="A138" s="2344"/>
      <c r="B138" s="1759"/>
      <c r="C138" s="1772"/>
      <c r="D138" s="1704" t="s">
        <v>1109</v>
      </c>
      <c r="E138" s="1708" t="str">
        <f>E136&amp;".1"</f>
        <v>15.1</v>
      </c>
      <c r="F138" s="1763" t="s">
        <v>1747</v>
      </c>
      <c r="G138" s="1761" t="s">
        <v>1724</v>
      </c>
      <c r="H138" s="1719"/>
      <c r="I138" s="1719">
        <v>151.43600000000001</v>
      </c>
      <c r="J138" s="1912" t="s">
        <v>1725</v>
      </c>
      <c r="K138" s="1722"/>
      <c r="L138" s="1772"/>
      <c r="M138" s="1772"/>
      <c r="N138" s="1759"/>
      <c r="O138" s="1759"/>
      <c r="P138" s="1759"/>
      <c r="Q138" s="1759"/>
      <c r="R138" s="1772"/>
      <c r="S138" s="1759"/>
      <c r="T138" s="1759"/>
      <c r="U138" s="1723"/>
      <c r="V138" s="1759"/>
      <c r="W138" s="1759"/>
      <c r="X138" s="1759"/>
      <c r="Y138" s="1759"/>
      <c r="Z138" s="1759"/>
      <c r="AA138" s="1741"/>
      <c r="AB138" s="1741"/>
      <c r="AC138" s="1741"/>
      <c r="AD138" s="1741"/>
      <c r="AE138" s="1741"/>
    </row>
    <row r="139" spans="1:31" s="1753" customFormat="1" ht="21" customHeight="1">
      <c r="A139" s="2344"/>
      <c r="B139" s="1759"/>
      <c r="C139" s="1772"/>
      <c r="D139" s="1704" t="s">
        <v>1109</v>
      </c>
      <c r="E139" s="1708" t="str">
        <f>E136&amp;".2"</f>
        <v>15.2</v>
      </c>
      <c r="F139" s="1763" t="s">
        <v>1748</v>
      </c>
      <c r="G139" s="1761" t="s">
        <v>1724</v>
      </c>
      <c r="H139" s="1719"/>
      <c r="I139" s="1719">
        <v>144.30500000000001</v>
      </c>
      <c r="J139" s="1912" t="s">
        <v>1725</v>
      </c>
      <c r="K139" s="1722"/>
      <c r="L139" s="1772"/>
      <c r="M139" s="1772"/>
      <c r="N139" s="1759"/>
      <c r="O139" s="1759"/>
      <c r="P139" s="1759"/>
      <c r="Q139" s="1759"/>
      <c r="R139" s="1772"/>
      <c r="S139" s="1759"/>
      <c r="T139" s="1759"/>
      <c r="U139" s="1723"/>
      <c r="V139" s="1759"/>
      <c r="W139" s="1759"/>
      <c r="X139" s="1759"/>
      <c r="Y139" s="1759"/>
      <c r="Z139" s="1759"/>
      <c r="AA139" s="1741"/>
      <c r="AB139" s="1741"/>
      <c r="AC139" s="1741"/>
      <c r="AD139" s="1741"/>
      <c r="AE139" s="1741"/>
    </row>
    <row r="140" spans="1:31" ht="15" customHeight="1">
      <c r="A140" s="2343"/>
      <c r="D140" s="1494"/>
      <c r="E140" s="497"/>
      <c r="F140" s="507" t="s">
        <v>1556</v>
      </c>
      <c r="G140" s="499"/>
      <c r="H140" s="500"/>
      <c r="I140" s="500"/>
      <c r="J140" s="896" t="s">
        <v>1760</v>
      </c>
      <c r="K140" s="470"/>
    </row>
    <row r="141" spans="1:31" ht="81.75" customHeight="1">
      <c r="A141" s="2343"/>
      <c r="D141" s="1499"/>
      <c r="E141" s="473" t="str">
        <f>FHD_NUM_P_79</f>
        <v>16</v>
      </c>
      <c r="F141" s="62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41" s="1506" t="s">
        <v>1726</v>
      </c>
      <c r="H141" s="504"/>
      <c r="I141" s="504">
        <v>0</v>
      </c>
      <c r="J141" s="207"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41" s="470"/>
    </row>
    <row r="142" spans="1:31" s="1772" customFormat="1" ht="0" hidden="1" customHeight="1">
      <c r="A142" s="2343"/>
      <c r="D142" s="475"/>
      <c r="E142" s="709" t="str">
        <f>E141&amp;".0"</f>
        <v>16.0</v>
      </c>
      <c r="F142" s="891"/>
      <c r="G142" s="1511"/>
      <c r="H142" s="885"/>
      <c r="I142" s="885"/>
      <c r="J142" s="889"/>
    </row>
    <row r="143" spans="1:31" s="1753" customFormat="1" ht="18" customHeight="1">
      <c r="A143" s="2344"/>
      <c r="B143" s="1759"/>
      <c r="C143" s="1772"/>
      <c r="D143" s="1704" t="s">
        <v>1109</v>
      </c>
      <c r="E143" s="1708" t="str">
        <f>E141&amp;".1"</f>
        <v>16.1</v>
      </c>
      <c r="F143" s="1763" t="s">
        <v>1747</v>
      </c>
      <c r="G143" s="1761" t="s">
        <v>1726</v>
      </c>
      <c r="H143" s="1719"/>
      <c r="I143" s="1719">
        <v>151.49199999999999</v>
      </c>
      <c r="J143" s="1912" t="s">
        <v>1727</v>
      </c>
      <c r="K143" s="1722"/>
      <c r="L143" s="1772"/>
      <c r="M143" s="1772"/>
      <c r="N143" s="1759"/>
      <c r="O143" s="1759"/>
      <c r="P143" s="1759"/>
      <c r="Q143" s="1759"/>
      <c r="R143" s="1772"/>
      <c r="S143" s="1759"/>
      <c r="T143" s="1759"/>
      <c r="U143" s="1723"/>
      <c r="V143" s="1759"/>
      <c r="W143" s="1759"/>
      <c r="X143" s="1759"/>
      <c r="Y143" s="1759"/>
      <c r="Z143" s="1759"/>
      <c r="AA143" s="1741"/>
      <c r="AB143" s="1741"/>
      <c r="AC143" s="1741"/>
      <c r="AD143" s="1741"/>
      <c r="AE143" s="1741"/>
    </row>
    <row r="144" spans="1:31" s="1753" customFormat="1" ht="19.5" customHeight="1">
      <c r="A144" s="2344"/>
      <c r="B144" s="1759"/>
      <c r="C144" s="1772"/>
      <c r="D144" s="1704" t="s">
        <v>1109</v>
      </c>
      <c r="E144" s="1708" t="str">
        <f>E141&amp;".2"</f>
        <v>16.2</v>
      </c>
      <c r="F144" s="1763" t="s">
        <v>1748</v>
      </c>
      <c r="G144" s="1761" t="s">
        <v>1726</v>
      </c>
      <c r="H144" s="1719"/>
      <c r="I144" s="1719">
        <v>144.32400000000001</v>
      </c>
      <c r="J144" s="1912" t="s">
        <v>1727</v>
      </c>
      <c r="K144" s="1722"/>
      <c r="L144" s="1772"/>
      <c r="M144" s="1772"/>
      <c r="N144" s="1759"/>
      <c r="O144" s="1759"/>
      <c r="P144" s="1759"/>
      <c r="Q144" s="1759"/>
      <c r="R144" s="1772"/>
      <c r="S144" s="1759"/>
      <c r="T144" s="1759"/>
      <c r="U144" s="1723"/>
      <c r="V144" s="1759"/>
      <c r="W144" s="1759"/>
      <c r="X144" s="1759"/>
      <c r="Y144" s="1759"/>
      <c r="Z144" s="1759"/>
      <c r="AA144" s="1741"/>
      <c r="AB144" s="1741"/>
      <c r="AC144" s="1741"/>
      <c r="AD144" s="1741"/>
      <c r="AE144" s="1741"/>
    </row>
    <row r="145" spans="1:31" ht="27" customHeight="1">
      <c r="A145" s="2343"/>
      <c r="D145" s="1494"/>
      <c r="E145" s="497"/>
      <c r="F145" s="507" t="s">
        <v>1556</v>
      </c>
      <c r="G145" s="499"/>
      <c r="H145" s="500"/>
      <c r="I145" s="500"/>
      <c r="J145" s="896" t="s">
        <v>1761</v>
      </c>
      <c r="K145" s="470"/>
    </row>
    <row r="146" spans="1:31" ht="66" customHeight="1">
      <c r="A146" s="2343"/>
      <c r="D146" s="1499"/>
      <c r="E146" s="473" t="str">
        <f>FHD_NUM_P_80</f>
        <v>17</v>
      </c>
      <c r="F146" s="62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46" s="1506" t="s">
        <v>1762</v>
      </c>
      <c r="H146" s="484"/>
      <c r="I146" s="484">
        <v>0.03</v>
      </c>
      <c r="J146" s="207" t="str">
        <f>FHD_NOTE_P_80</f>
        <v>Регулируемыми организациями указывается информация с по договорам, заключенным в рамках осуществления регулируемой деятельности.</v>
      </c>
      <c r="K146" s="470"/>
    </row>
    <row r="147" spans="1:31" ht="67.5" customHeight="1">
      <c r="A147" s="2343"/>
      <c r="D147" s="1499"/>
      <c r="E147" s="473" t="str">
        <f>FHD_NUM_P_81</f>
        <v>18</v>
      </c>
      <c r="F147" s="62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47" s="1506" t="s">
        <v>1763</v>
      </c>
      <c r="H147" s="484"/>
      <c r="I147" s="484">
        <v>33.06</v>
      </c>
      <c r="J147" s="207" t="str">
        <f>FHD_NOTE_P_81</f>
        <v>Регулируемыми организациями указывается информация с по договорам, заключенным в рамках осуществления регулируемой деятельности.</v>
      </c>
      <c r="K147" s="470"/>
    </row>
    <row r="148" spans="1:31" ht="72" customHeight="1">
      <c r="A148" s="2343"/>
      <c r="C148" s="1497" t="s">
        <v>1750</v>
      </c>
      <c r="D148" s="1499"/>
      <c r="E148" s="473" t="str">
        <f>FHD_NUM_P_82</f>
        <v>19</v>
      </c>
      <c r="F148" s="62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48" s="1506" t="s">
        <v>298</v>
      </c>
      <c r="H148" s="336"/>
      <c r="I148" s="336" t="s">
        <v>17</v>
      </c>
      <c r="J148" s="207" t="str">
        <f>FHD_NOTE_P_82</f>
        <v>Указывается ссылка на документ, предварительно загруженный в хранилище файлов ФГИС ЕИАС.</v>
      </c>
      <c r="K148" s="470"/>
    </row>
    <row r="149" spans="1:31" ht="37.5" customHeight="1">
      <c r="A149" s="2343"/>
      <c r="C149" s="1497" t="s">
        <v>1750</v>
      </c>
      <c r="D149" s="1499"/>
      <c r="E149" s="473" t="str">
        <f>FHD_NUM_P_83</f>
        <v>19.1</v>
      </c>
      <c r="F149" s="849" t="str">
        <f>FHD_P_83</f>
        <v>Информация о показателях физического износа объектов теплоснабжения</v>
      </c>
      <c r="G149" s="1506" t="s">
        <v>298</v>
      </c>
      <c r="H149" s="336"/>
      <c r="I149" s="336" t="s">
        <v>17</v>
      </c>
      <c r="J149" s="207" t="str">
        <f>FHD_NOTE_P_83</f>
        <v>Указывается ссылка на документ, предварительно загруженный в хранилище файлов ФГИС ЕИАС.</v>
      </c>
      <c r="K149" s="470"/>
    </row>
    <row r="150" spans="1:31" ht="31.5" customHeight="1">
      <c r="A150" s="2343"/>
      <c r="C150" s="1497" t="s">
        <v>1750</v>
      </c>
      <c r="D150" s="1499"/>
      <c r="E150" s="473" t="str">
        <f>FHD_NUM_P_84</f>
        <v>19.2</v>
      </c>
      <c r="F150" s="849" t="str">
        <f>FHD_P_84</f>
        <v>Информация о показателях энергетической эффективности объектов теплоснабжения</v>
      </c>
      <c r="G150" s="1506" t="s">
        <v>298</v>
      </c>
      <c r="H150" s="336"/>
      <c r="I150" s="336"/>
      <c r="J150" s="207" t="str">
        <f>FHD_NOTE_P_84</f>
        <v>Указывается ссылка на документ, предварительно загруженный в хранилище файлов ФГИС ЕИАС.</v>
      </c>
      <c r="K150" s="470"/>
    </row>
    <row r="151" spans="1:31" ht="11.25" customHeight="1">
      <c r="D151" s="1499"/>
    </row>
    <row r="152" spans="1:31" ht="12.75" customHeight="1">
      <c r="D152" s="1499"/>
      <c r="E152" s="261"/>
      <c r="F152" s="296"/>
      <c r="G152" s="296"/>
      <c r="H152" s="296"/>
      <c r="I152" s="1507"/>
      <c r="J152" s="508"/>
    </row>
    <row r="153" spans="1:31" s="1720" customFormat="1" ht="11.25" customHeight="1">
      <c r="A153" s="880"/>
      <c r="B153" s="1497"/>
      <c r="C153" s="1497"/>
      <c r="D153" s="275"/>
      <c r="F153" s="1501"/>
      <c r="G153" s="1492"/>
      <c r="H153" s="1492"/>
      <c r="I153" s="1492"/>
      <c r="K153" s="1036"/>
      <c r="L153" s="1497"/>
      <c r="M153" s="1497"/>
      <c r="N153" s="1036"/>
      <c r="O153" s="1036"/>
      <c r="P153" s="1036"/>
      <c r="Q153" s="1036"/>
      <c r="R153" s="1497"/>
      <c r="S153" s="1036"/>
      <c r="T153" s="1036"/>
      <c r="U153" s="471"/>
      <c r="V153" s="1036"/>
      <c r="W153" s="1036"/>
      <c r="X153" s="1036"/>
      <c r="Y153" s="1036"/>
      <c r="Z153" s="1036"/>
      <c r="AA153" s="1493"/>
      <c r="AB153" s="493"/>
      <c r="AC153" s="493"/>
      <c r="AD153" s="493"/>
      <c r="AE153" s="493"/>
    </row>
    <row r="154" spans="1:31" s="1720" customFormat="1" ht="11.25" customHeight="1">
      <c r="A154" s="880"/>
      <c r="B154" s="1497"/>
      <c r="C154" s="1497"/>
      <c r="D154" s="275"/>
      <c r="K154" s="1036"/>
      <c r="L154" s="1497"/>
      <c r="M154" s="1497"/>
      <c r="N154" s="1036"/>
      <c r="O154" s="1036"/>
      <c r="P154" s="1036"/>
      <c r="Q154" s="1036"/>
      <c r="R154" s="1497"/>
      <c r="S154" s="1036"/>
      <c r="T154" s="1036"/>
      <c r="U154" s="471"/>
      <c r="V154" s="1036"/>
      <c r="W154" s="1036"/>
      <c r="X154" s="1036"/>
      <c r="Y154" s="1036"/>
      <c r="Z154" s="1036"/>
      <c r="AA154" s="1493"/>
      <c r="AB154" s="493"/>
      <c r="AC154" s="493"/>
      <c r="AD154" s="493"/>
      <c r="AE154" s="493"/>
    </row>
    <row r="155" spans="1:31" s="1720" customFormat="1" ht="11.25" customHeight="1">
      <c r="A155" s="880"/>
      <c r="B155" s="1497"/>
      <c r="C155" s="1497"/>
      <c r="D155" s="275"/>
      <c r="K155" s="1036"/>
      <c r="L155" s="1497"/>
      <c r="M155" s="1497"/>
      <c r="N155" s="1036"/>
      <c r="O155" s="1036"/>
      <c r="P155" s="1036"/>
      <c r="Q155" s="1036"/>
      <c r="R155" s="1497"/>
      <c r="S155" s="1036"/>
      <c r="T155" s="1036"/>
      <c r="U155" s="471"/>
      <c r="V155" s="1036"/>
      <c r="W155" s="1036"/>
      <c r="X155" s="1036"/>
      <c r="Y155" s="1036"/>
      <c r="Z155" s="1036"/>
      <c r="AA155" s="1493"/>
      <c r="AB155" s="493"/>
      <c r="AC155" s="493"/>
      <c r="AD155" s="493"/>
      <c r="AE155" s="493"/>
    </row>
    <row r="156" spans="1:31" s="1720" customFormat="1" ht="11.25" customHeight="1">
      <c r="A156" s="880"/>
      <c r="B156" s="1497"/>
      <c r="C156" s="1497"/>
      <c r="D156" s="275"/>
      <c r="H156" s="493" t="str">
        <f>IF(H30-H31&lt;&gt;H86,"WARNING","")</f>
        <v/>
      </c>
      <c r="I156" s="493" t="str">
        <f>IF(I30-I31&lt;&gt;I86,"WARNING","")</f>
        <v/>
      </c>
      <c r="K156" s="1036"/>
      <c r="L156" s="1497"/>
      <c r="M156" s="1497"/>
      <c r="N156" s="1036"/>
      <c r="O156" s="1036"/>
      <c r="P156" s="1036"/>
      <c r="Q156" s="1036"/>
      <c r="R156" s="1497"/>
      <c r="S156" s="1036"/>
      <c r="T156" s="1036"/>
      <c r="U156" s="471"/>
      <c r="V156" s="1036"/>
      <c r="W156" s="1036"/>
      <c r="X156" s="1036"/>
      <c r="Y156" s="1036"/>
      <c r="Z156" s="1036"/>
      <c r="AA156" s="1493"/>
      <c r="AB156" s="493"/>
      <c r="AC156" s="493"/>
      <c r="AD156" s="493"/>
      <c r="AE156" s="493"/>
    </row>
    <row r="157" spans="1:31" s="1720" customFormat="1" ht="11.25" customHeight="1">
      <c r="A157" s="880"/>
      <c r="B157" s="1497"/>
      <c r="C157" s="1497"/>
      <c r="D157" s="275"/>
      <c r="K157" s="1036"/>
      <c r="L157" s="1497"/>
      <c r="M157" s="1497"/>
      <c r="N157" s="1036"/>
      <c r="O157" s="1036"/>
      <c r="P157" s="1036"/>
      <c r="Q157" s="1036"/>
      <c r="R157" s="1497"/>
      <c r="S157" s="1036"/>
      <c r="T157" s="1036"/>
      <c r="U157" s="471"/>
      <c r="V157" s="1036"/>
      <c r="W157" s="1036"/>
      <c r="X157" s="1036"/>
      <c r="Y157" s="1036"/>
      <c r="Z157" s="1036"/>
      <c r="AA157" s="1493"/>
      <c r="AB157" s="493"/>
      <c r="AC157" s="493"/>
      <c r="AD157" s="493"/>
      <c r="AE157" s="493"/>
    </row>
    <row r="158" spans="1:31" s="1720" customFormat="1" ht="11.25" customHeight="1">
      <c r="A158" s="880"/>
      <c r="B158" s="1497"/>
      <c r="C158" s="1497"/>
      <c r="D158" s="275"/>
      <c r="K158" s="1036"/>
      <c r="L158" s="1497"/>
      <c r="M158" s="1497"/>
      <c r="N158" s="1036"/>
      <c r="O158" s="1036"/>
      <c r="P158" s="1036"/>
      <c r="Q158" s="1036"/>
      <c r="R158" s="1497"/>
      <c r="S158" s="1036"/>
      <c r="T158" s="1036"/>
      <c r="U158" s="471"/>
      <c r="V158" s="1036"/>
      <c r="W158" s="1036"/>
      <c r="X158" s="1036"/>
      <c r="Y158" s="1036"/>
      <c r="Z158" s="1036"/>
      <c r="AA158" s="1493"/>
      <c r="AB158" s="493"/>
      <c r="AC158" s="493"/>
      <c r="AD158" s="493"/>
      <c r="AE158" s="493"/>
    </row>
    <row r="159" spans="1:31" s="1720" customFormat="1" ht="11.25" customHeight="1">
      <c r="A159" s="880"/>
      <c r="B159" s="1497"/>
      <c r="C159" s="1497"/>
      <c r="D159" s="275"/>
      <c r="K159" s="1036"/>
      <c r="L159" s="1497"/>
      <c r="M159" s="1497"/>
      <c r="N159" s="1036"/>
      <c r="O159" s="1036"/>
      <c r="P159" s="1036"/>
      <c r="Q159" s="1036"/>
      <c r="R159" s="1497"/>
      <c r="S159" s="1036"/>
      <c r="T159" s="1036"/>
      <c r="U159" s="471"/>
      <c r="V159" s="1036"/>
      <c r="W159" s="1036"/>
      <c r="X159" s="1036"/>
      <c r="Y159" s="1036"/>
      <c r="Z159" s="1036"/>
      <c r="AA159" s="1493"/>
      <c r="AB159" s="493"/>
      <c r="AC159" s="493"/>
      <c r="AD159" s="493"/>
      <c r="AE159" s="493"/>
    </row>
    <row r="160" spans="1:31" s="1720" customFormat="1" ht="11.25" customHeight="1">
      <c r="A160" s="880"/>
      <c r="B160" s="1497"/>
      <c r="C160" s="1497"/>
      <c r="D160" s="275"/>
      <c r="K160" s="1036"/>
      <c r="L160" s="1497"/>
      <c r="M160" s="1497"/>
      <c r="N160" s="1036"/>
      <c r="O160" s="1036"/>
      <c r="P160" s="1036"/>
      <c r="Q160" s="1036"/>
      <c r="R160" s="1497"/>
      <c r="S160" s="1036"/>
      <c r="T160" s="1036"/>
      <c r="U160" s="471"/>
      <c r="V160" s="1036"/>
      <c r="W160" s="1036"/>
      <c r="X160" s="1036"/>
      <c r="Y160" s="1036"/>
      <c r="Z160" s="1036"/>
      <c r="AA160" s="1493"/>
      <c r="AB160" s="493"/>
      <c r="AC160" s="493"/>
      <c r="AD160" s="493"/>
      <c r="AE160" s="493"/>
    </row>
    <row r="161" spans="1:31" s="1720" customFormat="1" ht="11.25" customHeight="1">
      <c r="A161" s="880"/>
      <c r="B161" s="1497"/>
      <c r="C161" s="1497"/>
      <c r="D161" s="275"/>
      <c r="K161" s="1036"/>
      <c r="L161" s="1497"/>
      <c r="M161" s="1497"/>
      <c r="N161" s="1036"/>
      <c r="O161" s="1036"/>
      <c r="P161" s="1036"/>
      <c r="Q161" s="1036"/>
      <c r="R161" s="1497"/>
      <c r="S161" s="1036"/>
      <c r="T161" s="1036"/>
      <c r="U161" s="471"/>
      <c r="V161" s="1036"/>
      <c r="W161" s="1036"/>
      <c r="X161" s="1036"/>
      <c r="Y161" s="1036"/>
      <c r="Z161" s="1036"/>
      <c r="AA161" s="1493"/>
      <c r="AB161" s="493"/>
      <c r="AC161" s="493"/>
      <c r="AD161" s="493"/>
      <c r="AE161" s="493"/>
    </row>
    <row r="162" spans="1:31" s="1720" customFormat="1" ht="11.25" customHeight="1">
      <c r="A162" s="880"/>
      <c r="B162" s="1497"/>
      <c r="C162" s="1497"/>
      <c r="D162" s="275"/>
      <c r="K162" s="1036"/>
      <c r="L162" s="1497"/>
      <c r="M162" s="1497"/>
      <c r="N162" s="1036"/>
      <c r="O162" s="1036"/>
      <c r="P162" s="1036"/>
      <c r="Q162" s="1036"/>
      <c r="R162" s="1497"/>
      <c r="S162" s="1036"/>
      <c r="T162" s="1036"/>
      <c r="U162" s="471"/>
      <c r="V162" s="1036"/>
      <c r="W162" s="1036"/>
      <c r="X162" s="1036"/>
      <c r="Y162" s="1036"/>
      <c r="Z162" s="1036"/>
      <c r="AA162" s="1493"/>
      <c r="AB162" s="493"/>
      <c r="AC162" s="493"/>
      <c r="AD162" s="493"/>
      <c r="AE162" s="493"/>
    </row>
    <row r="163" spans="1:31" s="1720" customFormat="1" ht="11.25" customHeight="1">
      <c r="A163" s="880"/>
      <c r="B163" s="1497"/>
      <c r="C163" s="1497"/>
      <c r="D163" s="275"/>
      <c r="K163" s="1036"/>
      <c r="L163" s="1497"/>
      <c r="M163" s="1497"/>
      <c r="N163" s="1036"/>
      <c r="O163" s="1036"/>
      <c r="P163" s="1036"/>
      <c r="Q163" s="1036"/>
      <c r="R163" s="1497"/>
      <c r="S163" s="1036"/>
      <c r="T163" s="1036"/>
      <c r="U163" s="471"/>
      <c r="V163" s="1036"/>
      <c r="W163" s="1036"/>
      <c r="X163" s="1036"/>
      <c r="Y163" s="1036"/>
      <c r="Z163" s="1036"/>
      <c r="AA163" s="1493"/>
      <c r="AB163" s="493"/>
      <c r="AC163" s="493"/>
      <c r="AD163" s="493"/>
      <c r="AE163" s="493"/>
    </row>
    <row r="164" spans="1:31" s="1720" customFormat="1" ht="11.25" customHeight="1">
      <c r="A164" s="880"/>
      <c r="B164" s="1497"/>
      <c r="C164" s="1497"/>
      <c r="D164" s="275"/>
      <c r="K164" s="1036"/>
      <c r="L164" s="1497"/>
      <c r="M164" s="1497"/>
      <c r="N164" s="1036"/>
      <c r="O164" s="1036"/>
      <c r="P164" s="1036"/>
      <c r="Q164" s="1036"/>
      <c r="R164" s="1497"/>
      <c r="S164" s="1036"/>
      <c r="T164" s="1036"/>
      <c r="U164" s="471"/>
      <c r="V164" s="1036"/>
      <c r="W164" s="1036"/>
      <c r="X164" s="1036"/>
      <c r="Y164" s="1036"/>
      <c r="Z164" s="1036"/>
      <c r="AA164" s="1493"/>
      <c r="AB164" s="493"/>
      <c r="AC164" s="493"/>
      <c r="AD164" s="493"/>
      <c r="AE164" s="493"/>
    </row>
    <row r="165" spans="1:31" s="1720" customFormat="1" ht="11.25" customHeight="1">
      <c r="A165" s="880"/>
      <c r="B165" s="1497"/>
      <c r="C165" s="1497"/>
      <c r="D165" s="275"/>
      <c r="K165" s="1036"/>
      <c r="L165" s="1497"/>
      <c r="M165" s="1497"/>
      <c r="N165" s="1036"/>
      <c r="O165" s="1036"/>
      <c r="P165" s="1036"/>
      <c r="Q165" s="1036"/>
      <c r="R165" s="1497"/>
      <c r="S165" s="1036"/>
      <c r="T165" s="1036"/>
      <c r="U165" s="471"/>
      <c r="V165" s="1036"/>
      <c r="W165" s="1036"/>
      <c r="X165" s="1036"/>
      <c r="Y165" s="1036"/>
      <c r="Z165" s="1036"/>
      <c r="AA165" s="1493"/>
      <c r="AB165" s="493"/>
      <c r="AC165" s="493"/>
      <c r="AD165" s="493"/>
      <c r="AE165" s="493"/>
    </row>
    <row r="166" spans="1:31" s="1720" customFormat="1" ht="11.25" customHeight="1">
      <c r="A166" s="880"/>
      <c r="B166" s="1497"/>
      <c r="C166" s="1497"/>
      <c r="D166" s="275"/>
      <c r="K166" s="1036"/>
      <c r="L166" s="1497"/>
      <c r="M166" s="1497"/>
      <c r="N166" s="1036"/>
      <c r="O166" s="1036"/>
      <c r="P166" s="1036"/>
      <c r="Q166" s="1036"/>
      <c r="R166" s="1497"/>
      <c r="S166" s="1036"/>
      <c r="T166" s="1036"/>
      <c r="U166" s="471"/>
      <c r="V166" s="1036"/>
      <c r="W166" s="1036"/>
      <c r="X166" s="1036"/>
      <c r="Y166" s="1036"/>
      <c r="Z166" s="1036"/>
      <c r="AA166" s="1493"/>
      <c r="AB166" s="493"/>
      <c r="AC166" s="493"/>
      <c r="AD166" s="493"/>
      <c r="AE166" s="493"/>
    </row>
    <row r="167" spans="1:31" s="1720" customFormat="1" ht="11.25" customHeight="1">
      <c r="A167" s="880"/>
      <c r="B167" s="1497"/>
      <c r="C167" s="1497"/>
      <c r="D167" s="275"/>
      <c r="K167" s="1036"/>
      <c r="L167" s="1497"/>
      <c r="M167" s="1497"/>
      <c r="N167" s="1036"/>
      <c r="O167" s="1036"/>
      <c r="P167" s="1036"/>
      <c r="Q167" s="1036"/>
      <c r="R167" s="1497"/>
      <c r="S167" s="1036"/>
      <c r="T167" s="1036"/>
      <c r="U167" s="471"/>
      <c r="V167" s="1036"/>
      <c r="W167" s="1036"/>
      <c r="X167" s="1036"/>
      <c r="Y167" s="1036"/>
      <c r="Z167" s="1036"/>
      <c r="AA167" s="1493"/>
      <c r="AB167" s="493"/>
      <c r="AC167" s="493"/>
      <c r="AD167" s="493"/>
      <c r="AE167" s="493"/>
    </row>
    <row r="168" spans="1:31" s="1720" customFormat="1" ht="11.25" customHeight="1">
      <c r="A168" s="880"/>
      <c r="B168" s="1497"/>
      <c r="C168" s="1497"/>
      <c r="D168" s="275"/>
      <c r="K168" s="1036"/>
      <c r="L168" s="1497"/>
      <c r="M168" s="1497"/>
      <c r="N168" s="1036"/>
      <c r="O168" s="1036"/>
      <c r="P168" s="1036"/>
      <c r="Q168" s="1036"/>
      <c r="R168" s="1497"/>
      <c r="S168" s="1036"/>
      <c r="T168" s="1036"/>
      <c r="U168" s="471"/>
      <c r="V168" s="1036"/>
      <c r="W168" s="1036"/>
      <c r="X168" s="1036"/>
      <c r="Y168" s="1036"/>
      <c r="Z168" s="1036"/>
      <c r="AA168" s="1493"/>
      <c r="AB168" s="493"/>
      <c r="AC168" s="493"/>
      <c r="AD168" s="493"/>
      <c r="AE168" s="493"/>
    </row>
    <row r="169" spans="1:31" s="1720" customFormat="1" ht="11.25" customHeight="1">
      <c r="A169" s="880"/>
      <c r="B169" s="1497"/>
      <c r="C169" s="1497"/>
      <c r="D169" s="275"/>
      <c r="K169" s="1036"/>
      <c r="L169" s="1497"/>
      <c r="M169" s="1497"/>
      <c r="N169" s="1036"/>
      <c r="O169" s="1036"/>
      <c r="P169" s="1036"/>
      <c r="Q169" s="1036"/>
      <c r="R169" s="1497"/>
      <c r="S169" s="1036"/>
      <c r="T169" s="1036"/>
      <c r="U169" s="471"/>
      <c r="V169" s="1036"/>
      <c r="W169" s="1036"/>
      <c r="X169" s="1036"/>
      <c r="Y169" s="1036"/>
      <c r="Z169" s="1036"/>
      <c r="AA169" s="1493"/>
      <c r="AB169" s="493"/>
      <c r="AC169" s="493"/>
      <c r="AD169" s="493"/>
      <c r="AE169" s="493"/>
    </row>
    <row r="170" spans="1:31" s="1720" customFormat="1" ht="11.25" customHeight="1">
      <c r="A170" s="880"/>
      <c r="B170" s="1497"/>
      <c r="C170" s="1497"/>
      <c r="D170" s="275"/>
      <c r="K170" s="1036"/>
      <c r="L170" s="1497"/>
      <c r="M170" s="1497"/>
      <c r="N170" s="1036"/>
      <c r="O170" s="1036"/>
      <c r="P170" s="1036"/>
      <c r="Q170" s="1036"/>
      <c r="R170" s="1497"/>
      <c r="S170" s="1036"/>
      <c r="T170" s="1036"/>
      <c r="U170" s="471"/>
      <c r="V170" s="1036"/>
      <c r="W170" s="1036"/>
      <c r="X170" s="1036"/>
      <c r="Y170" s="1036"/>
      <c r="Z170" s="1036"/>
      <c r="AA170" s="1493"/>
      <c r="AB170" s="493"/>
      <c r="AC170" s="493"/>
      <c r="AD170" s="493"/>
      <c r="AE170" s="493"/>
    </row>
    <row r="171" spans="1:31" s="1720" customFormat="1" ht="11.25" customHeight="1">
      <c r="A171" s="880"/>
      <c r="B171" s="1497"/>
      <c r="C171" s="1497"/>
      <c r="D171" s="275"/>
      <c r="K171" s="1036"/>
      <c r="L171" s="1497"/>
      <c r="M171" s="1497"/>
      <c r="N171" s="1036"/>
      <c r="O171" s="1036"/>
      <c r="P171" s="1036"/>
      <c r="Q171" s="1036"/>
      <c r="R171" s="1497"/>
      <c r="S171" s="1036"/>
      <c r="T171" s="1036"/>
      <c r="U171" s="471"/>
      <c r="V171" s="1036"/>
      <c r="W171" s="1036"/>
      <c r="X171" s="1036"/>
      <c r="Y171" s="1036"/>
      <c r="Z171" s="1036"/>
      <c r="AA171" s="1493"/>
      <c r="AB171" s="493"/>
      <c r="AC171" s="493"/>
      <c r="AD171" s="493"/>
      <c r="AE171" s="493"/>
    </row>
    <row r="172" spans="1:31" s="1720" customFormat="1" ht="11.25" customHeight="1">
      <c r="A172" s="880"/>
      <c r="B172" s="1497"/>
      <c r="C172" s="1497"/>
      <c r="D172" s="275"/>
      <c r="K172" s="1036"/>
      <c r="L172" s="1497"/>
      <c r="M172" s="1497"/>
      <c r="N172" s="1036"/>
      <c r="O172" s="1036"/>
      <c r="P172" s="1036"/>
      <c r="Q172" s="1036"/>
      <c r="R172" s="1497"/>
      <c r="S172" s="1036"/>
      <c r="T172" s="1036"/>
      <c r="U172" s="471"/>
      <c r="V172" s="1036"/>
      <c r="W172" s="1036"/>
      <c r="X172" s="1036"/>
      <c r="Y172" s="1036"/>
      <c r="Z172" s="1036"/>
      <c r="AA172" s="1493"/>
      <c r="AB172" s="493"/>
      <c r="AC172" s="493"/>
      <c r="AD172" s="493"/>
      <c r="AE172" s="493"/>
    </row>
    <row r="173" spans="1:31" s="1720" customFormat="1" ht="11.25" customHeight="1">
      <c r="A173" s="880"/>
      <c r="B173" s="1497"/>
      <c r="C173" s="1497"/>
      <c r="D173" s="275"/>
      <c r="K173" s="1036"/>
      <c r="L173" s="1497"/>
      <c r="M173" s="1497"/>
      <c r="N173" s="1036"/>
      <c r="O173" s="1036"/>
      <c r="P173" s="1036"/>
      <c r="Q173" s="1036"/>
      <c r="R173" s="1497"/>
      <c r="S173" s="1036"/>
      <c r="T173" s="1036"/>
      <c r="U173" s="471"/>
      <c r="V173" s="1036"/>
      <c r="W173" s="1036"/>
      <c r="X173" s="1036"/>
      <c r="Y173" s="1036"/>
      <c r="Z173" s="1036"/>
      <c r="AA173" s="1493"/>
      <c r="AB173" s="493"/>
      <c r="AC173" s="493"/>
      <c r="AD173" s="493"/>
      <c r="AE173" s="493"/>
    </row>
    <row r="174" spans="1:31" s="1720" customFormat="1" ht="11.25" customHeight="1">
      <c r="A174" s="880"/>
      <c r="B174" s="1497"/>
      <c r="C174" s="1497"/>
      <c r="D174" s="275"/>
      <c r="K174" s="1036"/>
      <c r="L174" s="1497"/>
      <c r="M174" s="1497"/>
      <c r="N174" s="1036"/>
      <c r="O174" s="1036"/>
      <c r="P174" s="1036"/>
      <c r="Q174" s="1036"/>
      <c r="R174" s="1497"/>
      <c r="S174" s="1036"/>
      <c r="T174" s="1036"/>
      <c r="U174" s="471"/>
      <c r="V174" s="1036"/>
      <c r="W174" s="1036"/>
      <c r="X174" s="1036"/>
      <c r="Y174" s="1036"/>
      <c r="Z174" s="1036"/>
      <c r="AA174" s="1493"/>
      <c r="AB174" s="493"/>
      <c r="AC174" s="493"/>
      <c r="AD174" s="493"/>
      <c r="AE174" s="493"/>
    </row>
    <row r="175" spans="1:31" s="1720" customFormat="1" ht="11.25" customHeight="1">
      <c r="A175" s="880"/>
      <c r="B175" s="1497"/>
      <c r="C175" s="1497"/>
      <c r="D175" s="275"/>
      <c r="K175" s="1036"/>
      <c r="L175" s="1497"/>
      <c r="M175" s="1497"/>
      <c r="N175" s="1036"/>
      <c r="O175" s="1036"/>
      <c r="P175" s="1036"/>
      <c r="Q175" s="1036"/>
      <c r="R175" s="1497"/>
      <c r="S175" s="1036"/>
      <c r="T175" s="1036"/>
      <c r="U175" s="471"/>
      <c r="V175" s="1036"/>
      <c r="W175" s="1036"/>
      <c r="X175" s="1036"/>
      <c r="Y175" s="1036"/>
      <c r="Z175" s="1036"/>
      <c r="AA175" s="1493"/>
      <c r="AB175" s="493"/>
      <c r="AC175" s="493"/>
      <c r="AD175" s="493"/>
      <c r="AE175" s="493"/>
    </row>
    <row r="176" spans="1:31" s="1720" customFormat="1" ht="11.25" customHeight="1">
      <c r="A176" s="880"/>
      <c r="B176" s="1497"/>
      <c r="C176" s="1497"/>
      <c r="D176" s="275"/>
      <c r="K176" s="1036"/>
      <c r="L176" s="1497"/>
      <c r="M176" s="1497"/>
      <c r="N176" s="1036"/>
      <c r="O176" s="1036"/>
      <c r="P176" s="1036"/>
      <c r="Q176" s="1036"/>
      <c r="R176" s="1497"/>
      <c r="S176" s="1036"/>
      <c r="T176" s="1036"/>
      <c r="U176" s="471"/>
      <c r="V176" s="1036"/>
      <c r="W176" s="1036"/>
      <c r="X176" s="1036"/>
      <c r="Y176" s="1036"/>
      <c r="Z176" s="1036"/>
      <c r="AA176" s="1493"/>
      <c r="AB176" s="493"/>
      <c r="AC176" s="493"/>
      <c r="AD176" s="493"/>
      <c r="AE176" s="493"/>
    </row>
    <row r="177" spans="1:31" s="1720" customFormat="1" ht="11.25" customHeight="1">
      <c r="A177" s="880"/>
      <c r="B177" s="1497"/>
      <c r="C177" s="1497"/>
      <c r="D177" s="275"/>
      <c r="K177" s="1036"/>
      <c r="L177" s="1497"/>
      <c r="M177" s="1497"/>
      <c r="N177" s="1036"/>
      <c r="O177" s="1036"/>
      <c r="P177" s="1036"/>
      <c r="Q177" s="1036"/>
      <c r="R177" s="1497"/>
      <c r="S177" s="1036"/>
      <c r="T177" s="1036"/>
      <c r="U177" s="471"/>
      <c r="V177" s="1036"/>
      <c r="W177" s="1036"/>
      <c r="X177" s="1036"/>
      <c r="Y177" s="1036"/>
      <c r="Z177" s="1036"/>
      <c r="AA177" s="1493"/>
      <c r="AB177" s="493"/>
      <c r="AC177" s="493"/>
      <c r="AD177" s="493"/>
      <c r="AE177" s="493"/>
    </row>
    <row r="178" spans="1:31" s="1720" customFormat="1" ht="11.25" customHeight="1">
      <c r="A178" s="880"/>
      <c r="B178" s="1497"/>
      <c r="C178" s="1497"/>
      <c r="D178" s="275"/>
      <c r="K178" s="1036"/>
      <c r="L178" s="1497"/>
      <c r="M178" s="1497"/>
      <c r="N178" s="1036"/>
      <c r="O178" s="1036"/>
      <c r="P178" s="1036"/>
      <c r="Q178" s="1036"/>
      <c r="R178" s="1497"/>
      <c r="S178" s="1036"/>
      <c r="T178" s="1036"/>
      <c r="U178" s="471"/>
      <c r="V178" s="1036"/>
      <c r="W178" s="1036"/>
      <c r="X178" s="1036"/>
      <c r="Y178" s="1036"/>
      <c r="Z178" s="1036"/>
      <c r="AA178" s="1493"/>
      <c r="AB178" s="493"/>
      <c r="AC178" s="493"/>
      <c r="AD178" s="493"/>
      <c r="AE178" s="493"/>
    </row>
    <row r="179" spans="1:31" s="1720" customFormat="1" ht="11.25" customHeight="1">
      <c r="A179" s="880"/>
      <c r="B179" s="1497"/>
      <c r="C179" s="1497"/>
      <c r="D179" s="275"/>
      <c r="K179" s="1036"/>
      <c r="L179" s="1497"/>
      <c r="M179" s="1497"/>
      <c r="N179" s="1036"/>
      <c r="O179" s="1036"/>
      <c r="P179" s="1036"/>
      <c r="Q179" s="1036"/>
      <c r="R179" s="1497"/>
      <c r="S179" s="1036"/>
      <c r="T179" s="1036"/>
      <c r="U179" s="471"/>
      <c r="V179" s="1036"/>
      <c r="W179" s="1036"/>
      <c r="X179" s="1036"/>
      <c r="Y179" s="1036"/>
      <c r="Z179" s="1036"/>
      <c r="AA179" s="1493"/>
      <c r="AB179" s="493"/>
      <c r="AC179" s="493"/>
      <c r="AD179" s="493"/>
      <c r="AE179" s="493"/>
    </row>
    <row r="180" spans="1:31" s="1720" customFormat="1" ht="11.25" customHeight="1">
      <c r="A180" s="880"/>
      <c r="B180" s="1497"/>
      <c r="C180" s="1497"/>
      <c r="D180" s="275"/>
      <c r="K180" s="1036"/>
      <c r="L180" s="1497"/>
      <c r="M180" s="1497"/>
      <c r="N180" s="1036"/>
      <c r="O180" s="1036"/>
      <c r="P180" s="1036"/>
      <c r="Q180" s="1036"/>
      <c r="R180" s="1497"/>
      <c r="S180" s="1036"/>
      <c r="T180" s="1036"/>
      <c r="U180" s="471"/>
      <c r="V180" s="1036"/>
      <c r="W180" s="1036"/>
      <c r="X180" s="1036"/>
      <c r="Y180" s="1036"/>
      <c r="Z180" s="1036"/>
      <c r="AA180" s="1493"/>
      <c r="AB180" s="493"/>
      <c r="AC180" s="493"/>
      <c r="AD180" s="493"/>
      <c r="AE180" s="493"/>
    </row>
    <row r="181" spans="1:31" s="1720" customFormat="1" ht="11.25" customHeight="1">
      <c r="A181" s="880"/>
      <c r="B181" s="1497"/>
      <c r="C181" s="1497"/>
      <c r="D181" s="275"/>
      <c r="K181" s="1036"/>
      <c r="L181" s="1497"/>
      <c r="M181" s="1497"/>
      <c r="N181" s="1036"/>
      <c r="O181" s="1036"/>
      <c r="P181" s="1036"/>
      <c r="Q181" s="1036"/>
      <c r="R181" s="1497"/>
      <c r="S181" s="1036"/>
      <c r="T181" s="1036"/>
      <c r="U181" s="471"/>
      <c r="V181" s="1036"/>
      <c r="W181" s="1036"/>
      <c r="X181" s="1036"/>
      <c r="Y181" s="1036"/>
      <c r="Z181" s="1036"/>
      <c r="AA181" s="1493"/>
      <c r="AB181" s="493"/>
      <c r="AC181" s="493"/>
      <c r="AD181" s="493"/>
      <c r="AE181" s="493"/>
    </row>
    <row r="182" spans="1:31" s="1720" customFormat="1" ht="11.25" customHeight="1">
      <c r="A182" s="880"/>
      <c r="B182" s="1497"/>
      <c r="C182" s="1497"/>
      <c r="D182" s="275"/>
      <c r="K182" s="1036"/>
      <c r="L182" s="1497"/>
      <c r="M182" s="1497"/>
      <c r="N182" s="1036"/>
      <c r="O182" s="1036"/>
      <c r="P182" s="1036"/>
      <c r="Q182" s="1036"/>
      <c r="R182" s="1497"/>
      <c r="S182" s="1036"/>
      <c r="T182" s="1036"/>
      <c r="U182" s="471"/>
      <c r="V182" s="1036"/>
      <c r="W182" s="1036"/>
      <c r="X182" s="1036"/>
      <c r="Y182" s="1036"/>
      <c r="Z182" s="1036"/>
      <c r="AA182" s="1493"/>
      <c r="AB182" s="493"/>
      <c r="AC182" s="493"/>
      <c r="AD182" s="493"/>
      <c r="AE182" s="493"/>
    </row>
    <row r="183" spans="1:31" s="1720" customFormat="1" ht="11.25" customHeight="1">
      <c r="A183" s="880"/>
      <c r="B183" s="1497"/>
      <c r="C183" s="1497"/>
      <c r="D183" s="275"/>
      <c r="K183" s="1036"/>
      <c r="L183" s="1497"/>
      <c r="M183" s="1497"/>
      <c r="N183" s="1036"/>
      <c r="O183" s="1036"/>
      <c r="P183" s="1036"/>
      <c r="Q183" s="1036"/>
      <c r="R183" s="1497"/>
      <c r="S183" s="1036"/>
      <c r="T183" s="1036"/>
      <c r="U183" s="471"/>
      <c r="V183" s="1036"/>
      <c r="W183" s="1036"/>
      <c r="X183" s="1036"/>
      <c r="Y183" s="1036"/>
      <c r="Z183" s="1036"/>
      <c r="AA183" s="1493"/>
      <c r="AB183" s="493"/>
      <c r="AC183" s="493"/>
      <c r="AD183" s="493"/>
      <c r="AE183" s="493"/>
    </row>
    <row r="184" spans="1:31" s="1720" customFormat="1" ht="11.25" customHeight="1">
      <c r="A184" s="880"/>
      <c r="B184" s="1497"/>
      <c r="C184" s="1497"/>
      <c r="D184" s="275"/>
      <c r="K184" s="1036"/>
      <c r="L184" s="1497"/>
      <c r="M184" s="1497"/>
      <c r="N184" s="1036"/>
      <c r="O184" s="1036"/>
      <c r="P184" s="1036"/>
      <c r="Q184" s="1036"/>
      <c r="R184" s="1497"/>
      <c r="S184" s="1036"/>
      <c r="T184" s="1036"/>
      <c r="U184" s="471"/>
      <c r="V184" s="1036"/>
      <c r="W184" s="1036"/>
      <c r="X184" s="1036"/>
      <c r="Y184" s="1036"/>
      <c r="Z184" s="1036"/>
      <c r="AA184" s="1493"/>
      <c r="AB184" s="493"/>
      <c r="AC184" s="493"/>
      <c r="AD184" s="493"/>
      <c r="AE184" s="493"/>
    </row>
    <row r="185" spans="1:31" s="1720" customFormat="1" ht="11.25" customHeight="1">
      <c r="A185" s="880"/>
      <c r="B185" s="1497"/>
      <c r="C185" s="1497"/>
      <c r="D185" s="275"/>
      <c r="K185" s="1036"/>
      <c r="L185" s="1497"/>
      <c r="M185" s="1497"/>
      <c r="N185" s="1036"/>
      <c r="O185" s="1036"/>
      <c r="P185" s="1036"/>
      <c r="Q185" s="1036"/>
      <c r="R185" s="1497"/>
      <c r="S185" s="1036"/>
      <c r="T185" s="1036"/>
      <c r="U185" s="471"/>
      <c r="V185" s="1036"/>
      <c r="W185" s="1036"/>
      <c r="X185" s="1036"/>
      <c r="Y185" s="1036"/>
      <c r="Z185" s="1036"/>
      <c r="AA185" s="1493"/>
      <c r="AB185" s="493"/>
      <c r="AC185" s="493"/>
      <c r="AD185" s="493"/>
      <c r="AE185" s="493"/>
    </row>
    <row r="186" spans="1:31" s="1720" customFormat="1" ht="11.25" customHeight="1">
      <c r="A186" s="880"/>
      <c r="B186" s="1497"/>
      <c r="C186" s="1497"/>
      <c r="D186" s="275"/>
      <c r="K186" s="1036"/>
      <c r="L186" s="1497"/>
      <c r="M186" s="1497"/>
      <c r="N186" s="1036"/>
      <c r="O186" s="1036"/>
      <c r="P186" s="1036"/>
      <c r="Q186" s="1036"/>
      <c r="R186" s="1497"/>
      <c r="S186" s="1036"/>
      <c r="T186" s="1036"/>
      <c r="U186" s="471"/>
      <c r="V186" s="1036"/>
      <c r="W186" s="1036"/>
      <c r="X186" s="1036"/>
      <c r="Y186" s="1036"/>
      <c r="Z186" s="1036"/>
      <c r="AA186" s="1493"/>
      <c r="AB186" s="493"/>
      <c r="AC186" s="493"/>
      <c r="AD186" s="493"/>
      <c r="AE186" s="493"/>
    </row>
    <row r="187" spans="1:31" s="1720" customFormat="1" ht="11.25" customHeight="1">
      <c r="A187" s="880"/>
      <c r="B187" s="1497"/>
      <c r="C187" s="1497"/>
      <c r="D187" s="275"/>
      <c r="K187" s="1036"/>
      <c r="L187" s="1497"/>
      <c r="M187" s="1497"/>
      <c r="N187" s="1036"/>
      <c r="O187" s="1036"/>
      <c r="P187" s="1036"/>
      <c r="Q187" s="1036"/>
      <c r="R187" s="1497"/>
      <c r="S187" s="1036"/>
      <c r="T187" s="1036"/>
      <c r="U187" s="471"/>
      <c r="V187" s="1036"/>
      <c r="W187" s="1036"/>
      <c r="X187" s="1036"/>
      <c r="Y187" s="1036"/>
      <c r="Z187" s="1036"/>
      <c r="AA187" s="1493"/>
      <c r="AB187" s="493"/>
      <c r="AC187" s="493"/>
      <c r="AD187" s="493"/>
      <c r="AE187" s="493"/>
    </row>
    <row r="188" spans="1:31" s="1720" customFormat="1" ht="11.25" customHeight="1">
      <c r="A188" s="880"/>
      <c r="B188" s="1497"/>
      <c r="C188" s="1497"/>
      <c r="D188" s="275"/>
      <c r="K188" s="1036"/>
      <c r="L188" s="1497"/>
      <c r="M188" s="1497"/>
      <c r="N188" s="1036"/>
      <c r="O188" s="1036"/>
      <c r="P188" s="1036"/>
      <c r="Q188" s="1036"/>
      <c r="R188" s="1497"/>
      <c r="S188" s="1036"/>
      <c r="T188" s="1036"/>
      <c r="U188" s="471"/>
      <c r="V188" s="1036"/>
      <c r="W188" s="1036"/>
      <c r="X188" s="1036"/>
      <c r="Y188" s="1036"/>
      <c r="Z188" s="1036"/>
      <c r="AA188" s="1493"/>
      <c r="AB188" s="493"/>
      <c r="AC188" s="493"/>
      <c r="AD188" s="493"/>
      <c r="AE188" s="493"/>
    </row>
    <row r="189" spans="1:31" s="1720" customFormat="1" ht="11.25" customHeight="1">
      <c r="A189" s="880"/>
      <c r="B189" s="1497"/>
      <c r="C189" s="1497"/>
      <c r="D189" s="275"/>
      <c r="K189" s="1036"/>
      <c r="L189" s="1497"/>
      <c r="M189" s="1497"/>
      <c r="N189" s="1036"/>
      <c r="O189" s="1036"/>
      <c r="P189" s="1036"/>
      <c r="Q189" s="1036"/>
      <c r="R189" s="1497"/>
      <c r="S189" s="1036"/>
      <c r="T189" s="1036"/>
      <c r="U189" s="471"/>
      <c r="V189" s="1036"/>
      <c r="W189" s="1036"/>
      <c r="X189" s="1036"/>
      <c r="Y189" s="1036"/>
      <c r="Z189" s="1036"/>
      <c r="AA189" s="1493"/>
      <c r="AB189" s="493"/>
      <c r="AC189" s="493"/>
      <c r="AD189" s="493"/>
      <c r="AE189" s="493"/>
    </row>
    <row r="190" spans="1:31" s="1720" customFormat="1" ht="11.25" customHeight="1">
      <c r="A190" s="880"/>
      <c r="B190" s="1497"/>
      <c r="C190" s="1497"/>
      <c r="D190" s="275"/>
      <c r="K190" s="1036"/>
      <c r="L190" s="1497"/>
      <c r="M190" s="1497"/>
      <c r="N190" s="1036"/>
      <c r="O190" s="1036"/>
      <c r="P190" s="1036"/>
      <c r="Q190" s="1036"/>
      <c r="R190" s="1497"/>
      <c r="S190" s="1036"/>
      <c r="T190" s="1036"/>
      <c r="U190" s="471"/>
      <c r="V190" s="1036"/>
      <c r="W190" s="1036"/>
      <c r="X190" s="1036"/>
      <c r="Y190" s="1036"/>
      <c r="Z190" s="1036"/>
      <c r="AA190" s="1493"/>
      <c r="AB190" s="493"/>
      <c r="AC190" s="493"/>
      <c r="AD190" s="493"/>
      <c r="AE190" s="493"/>
    </row>
    <row r="191" spans="1:31" s="1720" customFormat="1" ht="11.25" customHeight="1">
      <c r="A191" s="880"/>
      <c r="B191" s="1497"/>
      <c r="C191" s="1497"/>
      <c r="D191" s="275"/>
      <c r="K191" s="1036"/>
      <c r="L191" s="1497"/>
      <c r="M191" s="1497"/>
      <c r="N191" s="1036"/>
      <c r="O191" s="1036"/>
      <c r="P191" s="1036"/>
      <c r="Q191" s="1036"/>
      <c r="R191" s="1497"/>
      <c r="S191" s="1036"/>
      <c r="T191" s="1036"/>
      <c r="U191" s="471"/>
      <c r="V191" s="1036"/>
      <c r="W191" s="1036"/>
      <c r="X191" s="1036"/>
      <c r="Y191" s="1036"/>
      <c r="Z191" s="1036"/>
      <c r="AA191" s="1493"/>
      <c r="AB191" s="493"/>
      <c r="AC191" s="493"/>
      <c r="AD191" s="493"/>
      <c r="AE191" s="493"/>
    </row>
    <row r="192" spans="1:31" s="1720" customFormat="1" ht="11.25" customHeight="1">
      <c r="A192" s="880"/>
      <c r="B192" s="1497"/>
      <c r="C192" s="1497"/>
      <c r="D192" s="275"/>
      <c r="K192" s="1036"/>
      <c r="L192" s="1497"/>
      <c r="M192" s="1497"/>
      <c r="N192" s="1036"/>
      <c r="O192" s="1036"/>
      <c r="P192" s="1036"/>
      <c r="Q192" s="1036"/>
      <c r="R192" s="1497"/>
      <c r="S192" s="1036"/>
      <c r="T192" s="1036"/>
      <c r="U192" s="471"/>
      <c r="V192" s="1036"/>
      <c r="W192" s="1036"/>
      <c r="X192" s="1036"/>
      <c r="Y192" s="1036"/>
      <c r="Z192" s="1036"/>
      <c r="AA192" s="1493"/>
      <c r="AB192" s="493"/>
      <c r="AC192" s="493"/>
      <c r="AD192" s="493"/>
      <c r="AE192" s="493"/>
    </row>
    <row r="193" spans="1:31" s="1720" customFormat="1" ht="11.25" customHeight="1">
      <c r="A193" s="880"/>
      <c r="B193" s="1497"/>
      <c r="C193" s="1497"/>
      <c r="D193" s="275"/>
      <c r="K193" s="1036"/>
      <c r="L193" s="1497"/>
      <c r="M193" s="1497"/>
      <c r="N193" s="1036"/>
      <c r="O193" s="1036"/>
      <c r="P193" s="1036"/>
      <c r="Q193" s="1036"/>
      <c r="R193" s="1497"/>
      <c r="S193" s="1036"/>
      <c r="T193" s="1036"/>
      <c r="U193" s="471"/>
      <c r="V193" s="1036"/>
      <c r="W193" s="1036"/>
      <c r="X193" s="1036"/>
      <c r="Y193" s="1036"/>
      <c r="Z193" s="1036"/>
      <c r="AA193" s="1493"/>
      <c r="AB193" s="493"/>
      <c r="AC193" s="493"/>
      <c r="AD193" s="493"/>
      <c r="AE193" s="493"/>
    </row>
    <row r="194" spans="1:31" s="1720" customFormat="1" ht="11.25" customHeight="1">
      <c r="A194" s="880"/>
      <c r="B194" s="1497"/>
      <c r="C194" s="1497"/>
      <c r="D194" s="275"/>
      <c r="K194" s="1036"/>
      <c r="L194" s="1497"/>
      <c r="M194" s="1497"/>
      <c r="N194" s="1036"/>
      <c r="O194" s="1036"/>
      <c r="P194" s="1036"/>
      <c r="Q194" s="1036"/>
      <c r="R194" s="1497"/>
      <c r="S194" s="1036"/>
      <c r="T194" s="1036"/>
      <c r="U194" s="471"/>
      <c r="V194" s="1036"/>
      <c r="W194" s="1036"/>
      <c r="X194" s="1036"/>
      <c r="Y194" s="1036"/>
      <c r="Z194" s="1036"/>
      <c r="AA194" s="1493"/>
      <c r="AB194" s="493"/>
      <c r="AC194" s="493"/>
      <c r="AD194" s="493"/>
      <c r="AE194" s="493"/>
    </row>
    <row r="195" spans="1:31" s="1720" customFormat="1" ht="11.25" customHeight="1">
      <c r="A195" s="880"/>
      <c r="B195" s="1497"/>
      <c r="C195" s="1497"/>
      <c r="D195" s="275"/>
      <c r="K195" s="1036"/>
      <c r="L195" s="1497"/>
      <c r="M195" s="1497"/>
      <c r="N195" s="1036"/>
      <c r="O195" s="1036"/>
      <c r="P195" s="1036"/>
      <c r="Q195" s="1036"/>
      <c r="R195" s="1497"/>
      <c r="S195" s="1036"/>
      <c r="T195" s="1036"/>
      <c r="U195" s="471"/>
      <c r="V195" s="1036"/>
      <c r="W195" s="1036"/>
      <c r="X195" s="1036"/>
      <c r="Y195" s="1036"/>
      <c r="Z195" s="1036"/>
      <c r="AA195" s="1493"/>
      <c r="AB195" s="493"/>
      <c r="AC195" s="493"/>
      <c r="AD195" s="493"/>
      <c r="AE195" s="493"/>
    </row>
    <row r="196" spans="1:31" s="1720" customFormat="1" ht="11.25" customHeight="1">
      <c r="A196" s="880"/>
      <c r="B196" s="1497"/>
      <c r="C196" s="1497"/>
      <c r="D196" s="275"/>
      <c r="K196" s="1036"/>
      <c r="L196" s="1497"/>
      <c r="M196" s="1497"/>
      <c r="N196" s="1036"/>
      <c r="O196" s="1036"/>
      <c r="P196" s="1036"/>
      <c r="Q196" s="1036"/>
      <c r="R196" s="1497"/>
      <c r="S196" s="1036"/>
      <c r="T196" s="1036"/>
      <c r="U196" s="471"/>
      <c r="V196" s="1036"/>
      <c r="W196" s="1036"/>
      <c r="X196" s="1036"/>
      <c r="Y196" s="1036"/>
      <c r="Z196" s="1036"/>
      <c r="AA196" s="1493"/>
      <c r="AB196" s="493"/>
      <c r="AC196" s="493"/>
      <c r="AD196" s="493"/>
      <c r="AE196" s="493"/>
    </row>
    <row r="197" spans="1:31" s="1720" customFormat="1" ht="11.25" customHeight="1">
      <c r="A197" s="880"/>
      <c r="B197" s="1497"/>
      <c r="C197" s="1497"/>
      <c r="D197" s="275"/>
      <c r="K197" s="1036"/>
      <c r="L197" s="1497"/>
      <c r="M197" s="1497"/>
      <c r="N197" s="1036"/>
      <c r="O197" s="1036"/>
      <c r="P197" s="1036"/>
      <c r="Q197" s="1036"/>
      <c r="R197" s="1497"/>
      <c r="S197" s="1036"/>
      <c r="T197" s="1036"/>
      <c r="U197" s="471"/>
      <c r="V197" s="1036"/>
      <c r="W197" s="1036"/>
      <c r="X197" s="1036"/>
      <c r="Y197" s="1036"/>
      <c r="Z197" s="1036"/>
      <c r="AA197" s="1493"/>
      <c r="AB197" s="493"/>
      <c r="AC197" s="493"/>
      <c r="AD197" s="493"/>
      <c r="AE197" s="493"/>
    </row>
    <row r="198" spans="1:31" s="1720" customFormat="1" ht="11.25" customHeight="1">
      <c r="A198" s="880"/>
      <c r="B198" s="1497"/>
      <c r="C198" s="1497"/>
      <c r="D198" s="275"/>
      <c r="K198" s="1036"/>
      <c r="L198" s="1497"/>
      <c r="M198" s="1497"/>
      <c r="N198" s="1036"/>
      <c r="O198" s="1036"/>
      <c r="P198" s="1036"/>
      <c r="Q198" s="1036"/>
      <c r="R198" s="1497"/>
      <c r="S198" s="1036"/>
      <c r="T198" s="1036"/>
      <c r="U198" s="471"/>
      <c r="V198" s="1036"/>
      <c r="W198" s="1036"/>
      <c r="X198" s="1036"/>
      <c r="Y198" s="1036"/>
      <c r="Z198" s="1036"/>
      <c r="AA198" s="1493"/>
      <c r="AB198" s="493"/>
      <c r="AC198" s="493"/>
      <c r="AD198" s="493"/>
      <c r="AE198" s="493"/>
    </row>
    <row r="199" spans="1:31" s="1720" customFormat="1" ht="11.25" customHeight="1">
      <c r="A199" s="880"/>
      <c r="B199" s="1497"/>
      <c r="C199" s="1497"/>
      <c r="D199" s="275"/>
      <c r="K199" s="1036"/>
      <c r="L199" s="1497"/>
      <c r="M199" s="1497"/>
      <c r="N199" s="1036"/>
      <c r="O199" s="1036"/>
      <c r="P199" s="1036"/>
      <c r="Q199" s="1036"/>
      <c r="R199" s="1497"/>
      <c r="S199" s="1036"/>
      <c r="T199" s="1036"/>
      <c r="U199" s="471"/>
      <c r="V199" s="1036"/>
      <c r="W199" s="1036"/>
      <c r="X199" s="1036"/>
      <c r="Y199" s="1036"/>
      <c r="Z199" s="1036"/>
      <c r="AA199" s="1493"/>
      <c r="AB199" s="493"/>
      <c r="AC199" s="493"/>
      <c r="AD199" s="493"/>
      <c r="AE199" s="493"/>
    </row>
    <row r="200" spans="1:31" s="1720" customFormat="1" ht="11.25" customHeight="1">
      <c r="A200" s="880"/>
      <c r="B200" s="1497"/>
      <c r="C200" s="1497"/>
      <c r="D200" s="275"/>
      <c r="K200" s="1036"/>
      <c r="L200" s="1497"/>
      <c r="M200" s="1497"/>
      <c r="N200" s="1036"/>
      <c r="O200" s="1036"/>
      <c r="P200" s="1036"/>
      <c r="Q200" s="1036"/>
      <c r="R200" s="1497"/>
      <c r="S200" s="1036"/>
      <c r="T200" s="1036"/>
      <c r="U200" s="471"/>
      <c r="V200" s="1036"/>
      <c r="W200" s="1036"/>
      <c r="X200" s="1036"/>
      <c r="Y200" s="1036"/>
      <c r="Z200" s="1036"/>
      <c r="AA200" s="1493"/>
      <c r="AB200" s="493"/>
      <c r="AC200" s="493"/>
      <c r="AD200" s="493"/>
      <c r="AE200" s="493"/>
    </row>
    <row r="201" spans="1:31" s="1720" customFormat="1" ht="11.25" customHeight="1">
      <c r="A201" s="880"/>
      <c r="B201" s="1497"/>
      <c r="C201" s="1497"/>
      <c r="D201" s="275"/>
      <c r="K201" s="1036"/>
      <c r="L201" s="1497"/>
      <c r="M201" s="1497"/>
      <c r="N201" s="1036"/>
      <c r="O201" s="1036"/>
      <c r="P201" s="1036"/>
      <c r="Q201" s="1036"/>
      <c r="R201" s="1497"/>
      <c r="S201" s="1036"/>
      <c r="T201" s="1036"/>
      <c r="U201" s="471"/>
      <c r="V201" s="1036"/>
      <c r="W201" s="1036"/>
      <c r="X201" s="1036"/>
      <c r="Y201" s="1036"/>
      <c r="Z201" s="1036"/>
      <c r="AA201" s="1493"/>
      <c r="AB201" s="493"/>
      <c r="AC201" s="493"/>
      <c r="AD201" s="493"/>
      <c r="AE201" s="493"/>
    </row>
    <row r="202" spans="1:31" s="1720" customFormat="1" ht="11.25" customHeight="1">
      <c r="A202" s="880"/>
      <c r="B202" s="1497"/>
      <c r="C202" s="1497"/>
      <c r="D202" s="275"/>
      <c r="K202" s="1036"/>
      <c r="L202" s="1497"/>
      <c r="M202" s="1497"/>
      <c r="N202" s="1036"/>
      <c r="O202" s="1036"/>
      <c r="P202" s="1036"/>
      <c r="Q202" s="1036"/>
      <c r="R202" s="1497"/>
      <c r="S202" s="1036"/>
      <c r="T202" s="1036"/>
      <c r="U202" s="471"/>
      <c r="V202" s="1036"/>
      <c r="W202" s="1036"/>
      <c r="X202" s="1036"/>
      <c r="Y202" s="1036"/>
      <c r="Z202" s="1036"/>
      <c r="AA202" s="1493"/>
      <c r="AB202" s="493"/>
      <c r="AC202" s="493"/>
      <c r="AD202" s="493"/>
      <c r="AE202" s="493"/>
    </row>
    <row r="203" spans="1:31" s="1720" customFormat="1" ht="11.25" customHeight="1">
      <c r="A203" s="880"/>
      <c r="B203" s="1497"/>
      <c r="C203" s="1497"/>
      <c r="D203" s="275"/>
      <c r="K203" s="1036"/>
      <c r="L203" s="1497"/>
      <c r="M203" s="1497"/>
      <c r="N203" s="1036"/>
      <c r="O203" s="1036"/>
      <c r="P203" s="1036"/>
      <c r="Q203" s="1036"/>
      <c r="R203" s="1497"/>
      <c r="S203" s="1036"/>
      <c r="T203" s="1036"/>
      <c r="U203" s="471"/>
      <c r="V203" s="1036"/>
      <c r="W203" s="1036"/>
      <c r="X203" s="1036"/>
      <c r="Y203" s="1036"/>
      <c r="Z203" s="1036"/>
      <c r="AA203" s="1493"/>
      <c r="AB203" s="493"/>
      <c r="AC203" s="493"/>
      <c r="AD203" s="493"/>
      <c r="AE203" s="493"/>
    </row>
    <row r="204" spans="1:31" s="1720" customFormat="1" ht="11.25" customHeight="1">
      <c r="A204" s="880"/>
      <c r="B204" s="1497"/>
      <c r="C204" s="1497"/>
      <c r="D204" s="275"/>
      <c r="K204" s="1036"/>
      <c r="L204" s="1497"/>
      <c r="M204" s="1497"/>
      <c r="N204" s="1036"/>
      <c r="O204" s="1036"/>
      <c r="P204" s="1036"/>
      <c r="Q204" s="1036"/>
      <c r="R204" s="1497"/>
      <c r="S204" s="1036"/>
      <c r="T204" s="1036"/>
      <c r="U204" s="471"/>
      <c r="V204" s="1036"/>
      <c r="W204" s="1036"/>
      <c r="X204" s="1036"/>
      <c r="Y204" s="1036"/>
      <c r="Z204" s="1036"/>
      <c r="AA204" s="1493"/>
      <c r="AB204" s="493"/>
      <c r="AC204" s="493"/>
      <c r="AD204" s="493"/>
      <c r="AE204" s="493"/>
    </row>
    <row r="205" spans="1:31" s="1720" customFormat="1" ht="11.25" customHeight="1">
      <c r="A205" s="880"/>
      <c r="B205" s="1497"/>
      <c r="C205" s="1497"/>
      <c r="D205" s="275"/>
      <c r="K205" s="1036"/>
      <c r="L205" s="1497"/>
      <c r="M205" s="1497"/>
      <c r="N205" s="1036"/>
      <c r="O205" s="1036"/>
      <c r="P205" s="1036"/>
      <c r="Q205" s="1036"/>
      <c r="R205" s="1497"/>
      <c r="S205" s="1036"/>
      <c r="T205" s="1036"/>
      <c r="U205" s="471"/>
      <c r="V205" s="1036"/>
      <c r="W205" s="1036"/>
      <c r="X205" s="1036"/>
      <c r="Y205" s="1036"/>
      <c r="Z205" s="1036"/>
      <c r="AA205" s="1493"/>
      <c r="AB205" s="493"/>
      <c r="AC205" s="493"/>
      <c r="AD205" s="493"/>
      <c r="AE205" s="493"/>
    </row>
    <row r="206" spans="1:31" s="1720" customFormat="1" ht="11.25" customHeight="1">
      <c r="A206" s="880"/>
      <c r="B206" s="1497"/>
      <c r="C206" s="1497"/>
      <c r="D206" s="275"/>
      <c r="K206" s="1036"/>
      <c r="L206" s="1497"/>
      <c r="M206" s="1497"/>
      <c r="N206" s="1036"/>
      <c r="O206" s="1036"/>
      <c r="P206" s="1036"/>
      <c r="Q206" s="1036"/>
      <c r="R206" s="1497"/>
      <c r="S206" s="1036"/>
      <c r="T206" s="1036"/>
      <c r="U206" s="471"/>
      <c r="V206" s="1036"/>
      <c r="W206" s="1036"/>
      <c r="X206" s="1036"/>
      <c r="Y206" s="1036"/>
      <c r="Z206" s="1036"/>
      <c r="AA206" s="1493"/>
      <c r="AB206" s="493"/>
      <c r="AC206" s="493"/>
      <c r="AD206" s="493"/>
      <c r="AE206" s="493"/>
    </row>
    <row r="207" spans="1:31" s="1720" customFormat="1" ht="11.25" customHeight="1">
      <c r="A207" s="880"/>
      <c r="B207" s="1497"/>
      <c r="C207" s="1497"/>
      <c r="D207" s="275"/>
      <c r="K207" s="1036"/>
      <c r="L207" s="1497"/>
      <c r="M207" s="1497"/>
      <c r="N207" s="1036"/>
      <c r="O207" s="1036"/>
      <c r="P207" s="1036"/>
      <c r="Q207" s="1036"/>
      <c r="R207" s="1497"/>
      <c r="S207" s="1036"/>
      <c r="T207" s="1036"/>
      <c r="U207" s="471"/>
      <c r="V207" s="1036"/>
      <c r="W207" s="1036"/>
      <c r="X207" s="1036"/>
      <c r="Y207" s="1036"/>
      <c r="Z207" s="1036"/>
      <c r="AA207" s="1493"/>
      <c r="AB207" s="493"/>
      <c r="AC207" s="493"/>
      <c r="AD207" s="493"/>
      <c r="AE207" s="493"/>
    </row>
    <row r="208" spans="1:31" s="1720" customFormat="1" ht="11.25" customHeight="1">
      <c r="A208" s="880"/>
      <c r="B208" s="1497"/>
      <c r="C208" s="1497"/>
      <c r="D208" s="275"/>
      <c r="K208" s="1036"/>
      <c r="L208" s="1497"/>
      <c r="M208" s="1497"/>
      <c r="N208" s="1036"/>
      <c r="O208" s="1036"/>
      <c r="P208" s="1036"/>
      <c r="Q208" s="1036"/>
      <c r="R208" s="1497"/>
      <c r="S208" s="1036"/>
      <c r="T208" s="1036"/>
      <c r="U208" s="471"/>
      <c r="V208" s="1036"/>
      <c r="W208" s="1036"/>
      <c r="X208" s="1036"/>
      <c r="Y208" s="1036"/>
      <c r="Z208" s="1036"/>
      <c r="AA208" s="1493"/>
      <c r="AB208" s="493"/>
      <c r="AC208" s="493"/>
      <c r="AD208" s="493"/>
      <c r="AE208" s="493"/>
    </row>
    <row r="209" spans="1:31" s="1720" customFormat="1" ht="11.25" customHeight="1">
      <c r="A209" s="880"/>
      <c r="B209" s="1497"/>
      <c r="C209" s="1497"/>
      <c r="D209" s="275"/>
      <c r="K209" s="1036"/>
      <c r="L209" s="1497"/>
      <c r="M209" s="1497"/>
      <c r="N209" s="1036"/>
      <c r="O209" s="1036"/>
      <c r="P209" s="1036"/>
      <c r="Q209" s="1036"/>
      <c r="R209" s="1497"/>
      <c r="S209" s="1036"/>
      <c r="T209" s="1036"/>
      <c r="U209" s="471"/>
      <c r="V209" s="1036"/>
      <c r="W209" s="1036"/>
      <c r="X209" s="1036"/>
      <c r="Y209" s="1036"/>
      <c r="Z209" s="1036"/>
      <c r="AA209" s="1493"/>
      <c r="AB209" s="493"/>
      <c r="AC209" s="493"/>
      <c r="AD209" s="493"/>
      <c r="AE209" s="493"/>
    </row>
    <row r="210" spans="1:31" s="1720" customFormat="1" ht="11.25" customHeight="1">
      <c r="A210" s="880"/>
      <c r="B210" s="1497"/>
      <c r="C210" s="1497"/>
      <c r="D210" s="275"/>
      <c r="K210" s="1036"/>
      <c r="L210" s="1497"/>
      <c r="M210" s="1497"/>
      <c r="N210" s="1036"/>
      <c r="O210" s="1036"/>
      <c r="P210" s="1036"/>
      <c r="Q210" s="1036"/>
      <c r="R210" s="1497"/>
      <c r="S210" s="1036"/>
      <c r="T210" s="1036"/>
      <c r="U210" s="471"/>
      <c r="V210" s="1036"/>
      <c r="W210" s="1036"/>
      <c r="X210" s="1036"/>
      <c r="Y210" s="1036"/>
      <c r="Z210" s="1036"/>
      <c r="AA210" s="1493"/>
      <c r="AB210" s="493"/>
      <c r="AC210" s="493"/>
      <c r="AD210" s="493"/>
      <c r="AE210" s="493"/>
    </row>
    <row r="211" spans="1:31" s="1720" customFormat="1" ht="11.25" customHeight="1">
      <c r="A211" s="880"/>
      <c r="B211" s="1497"/>
      <c r="C211" s="1497"/>
      <c r="D211" s="275"/>
      <c r="K211" s="1036"/>
      <c r="L211" s="1497"/>
      <c r="M211" s="1497"/>
      <c r="N211" s="1036"/>
      <c r="O211" s="1036"/>
      <c r="P211" s="1036"/>
      <c r="Q211" s="1036"/>
      <c r="R211" s="1497"/>
      <c r="S211" s="1036"/>
      <c r="T211" s="1036"/>
      <c r="U211" s="471"/>
      <c r="V211" s="1036"/>
      <c r="W211" s="1036"/>
      <c r="X211" s="1036"/>
      <c r="Y211" s="1036"/>
      <c r="Z211" s="1036"/>
      <c r="AA211" s="1493"/>
      <c r="AB211" s="493"/>
      <c r="AC211" s="493"/>
      <c r="AD211" s="493"/>
      <c r="AE211" s="493"/>
    </row>
    <row r="212" spans="1:31" s="1720" customFormat="1" ht="11.25" customHeight="1">
      <c r="A212" s="880"/>
      <c r="B212" s="1497"/>
      <c r="C212" s="1497"/>
      <c r="D212" s="275"/>
      <c r="K212" s="1036"/>
      <c r="L212" s="1497"/>
      <c r="M212" s="1497"/>
      <c r="N212" s="1036"/>
      <c r="O212" s="1036"/>
      <c r="P212" s="1036"/>
      <c r="Q212" s="1036"/>
      <c r="R212" s="1497"/>
      <c r="S212" s="1036"/>
      <c r="T212" s="1036"/>
      <c r="U212" s="471"/>
      <c r="V212" s="1036"/>
      <c r="W212" s="1036"/>
      <c r="X212" s="1036"/>
      <c r="Y212" s="1036"/>
      <c r="Z212" s="1036"/>
      <c r="AA212" s="1493"/>
      <c r="AB212" s="493"/>
      <c r="AC212" s="493"/>
      <c r="AD212" s="493"/>
      <c r="AE212" s="493"/>
    </row>
    <row r="213" spans="1:31" s="1720" customFormat="1" ht="11.25" customHeight="1">
      <c r="A213" s="880"/>
      <c r="B213" s="1497"/>
      <c r="C213" s="1497"/>
      <c r="D213" s="275"/>
      <c r="K213" s="1036"/>
      <c r="L213" s="1497"/>
      <c r="M213" s="1497"/>
      <c r="N213" s="1036"/>
      <c r="O213" s="1036"/>
      <c r="P213" s="1036"/>
      <c r="Q213" s="1036"/>
      <c r="R213" s="1497"/>
      <c r="S213" s="1036"/>
      <c r="T213" s="1036"/>
      <c r="U213" s="471"/>
      <c r="V213" s="1036"/>
      <c r="W213" s="1036"/>
      <c r="X213" s="1036"/>
      <c r="Y213" s="1036"/>
      <c r="Z213" s="1036"/>
      <c r="AA213" s="1493"/>
      <c r="AB213" s="493"/>
      <c r="AC213" s="493"/>
      <c r="AD213" s="493"/>
      <c r="AE213" s="493"/>
    </row>
    <row r="214" spans="1:31" s="1720" customFormat="1" ht="11.25" customHeight="1">
      <c r="A214" s="880"/>
      <c r="B214" s="1497"/>
      <c r="C214" s="1497"/>
      <c r="D214" s="275"/>
      <c r="K214" s="1036"/>
      <c r="L214" s="1497"/>
      <c r="M214" s="1497"/>
      <c r="N214" s="1036"/>
      <c r="O214" s="1036"/>
      <c r="P214" s="1036"/>
      <c r="Q214" s="1036"/>
      <c r="R214" s="1497"/>
      <c r="S214" s="1036"/>
      <c r="T214" s="1036"/>
      <c r="U214" s="471"/>
      <c r="V214" s="1036"/>
      <c r="W214" s="1036"/>
      <c r="X214" s="1036"/>
      <c r="Y214" s="1036"/>
      <c r="Z214" s="1036"/>
      <c r="AA214" s="1493"/>
      <c r="AB214" s="493"/>
      <c r="AC214" s="493"/>
      <c r="AD214" s="493"/>
      <c r="AE214" s="493"/>
    </row>
    <row r="215" spans="1:31" s="1720" customFormat="1" ht="11.25" customHeight="1">
      <c r="A215" s="880"/>
      <c r="B215" s="1497"/>
      <c r="C215" s="1497"/>
      <c r="D215" s="275"/>
      <c r="K215" s="1036"/>
      <c r="L215" s="1497"/>
      <c r="M215" s="1497"/>
      <c r="N215" s="1036"/>
      <c r="O215" s="1036"/>
      <c r="P215" s="1036"/>
      <c r="Q215" s="1036"/>
      <c r="R215" s="1497"/>
      <c r="S215" s="1036"/>
      <c r="T215" s="1036"/>
      <c r="U215" s="471"/>
      <c r="V215" s="1036"/>
      <c r="W215" s="1036"/>
      <c r="X215" s="1036"/>
      <c r="Y215" s="1036"/>
      <c r="Z215" s="1036"/>
      <c r="AA215" s="1493"/>
      <c r="AB215" s="493"/>
      <c r="AC215" s="493"/>
      <c r="AD215" s="493"/>
      <c r="AE215" s="493"/>
    </row>
    <row r="216" spans="1:31" s="1720" customFormat="1" ht="11.25" customHeight="1">
      <c r="A216" s="880"/>
      <c r="B216" s="1497"/>
      <c r="C216" s="1497"/>
      <c r="D216" s="275"/>
      <c r="K216" s="1036"/>
      <c r="L216" s="1497"/>
      <c r="M216" s="1497"/>
      <c r="N216" s="1036"/>
      <c r="O216" s="1036"/>
      <c r="P216" s="1036"/>
      <c r="Q216" s="1036"/>
      <c r="R216" s="1497"/>
      <c r="S216" s="1036"/>
      <c r="T216" s="1036"/>
      <c r="U216" s="471"/>
      <c r="V216" s="1036"/>
      <c r="W216" s="1036"/>
      <c r="X216" s="1036"/>
      <c r="Y216" s="1036"/>
      <c r="Z216" s="1036"/>
      <c r="AA216" s="1493"/>
      <c r="AB216" s="493"/>
      <c r="AC216" s="493"/>
      <c r="AD216" s="493"/>
      <c r="AE216" s="493"/>
    </row>
    <row r="217" spans="1:31" s="1720" customFormat="1" ht="11.25" customHeight="1">
      <c r="A217" s="880"/>
      <c r="B217" s="1497"/>
      <c r="C217" s="1497"/>
      <c r="D217" s="275"/>
      <c r="K217" s="1036"/>
      <c r="L217" s="1497"/>
      <c r="M217" s="1497"/>
      <c r="N217" s="1036"/>
      <c r="O217" s="1036"/>
      <c r="P217" s="1036"/>
      <c r="Q217" s="1036"/>
      <c r="R217" s="1497"/>
      <c r="S217" s="1036"/>
      <c r="T217" s="1036"/>
      <c r="U217" s="471"/>
      <c r="V217" s="1036"/>
      <c r="W217" s="1036"/>
      <c r="X217" s="1036"/>
      <c r="Y217" s="1036"/>
      <c r="Z217" s="1036"/>
      <c r="AA217" s="1493"/>
      <c r="AB217" s="493"/>
      <c r="AC217" s="493"/>
      <c r="AD217" s="493"/>
      <c r="AE217" s="493"/>
    </row>
    <row r="218" spans="1:31" s="1720" customFormat="1" ht="11.25" customHeight="1">
      <c r="A218" s="880"/>
      <c r="B218" s="1497"/>
      <c r="C218" s="1497"/>
      <c r="D218" s="275"/>
      <c r="K218" s="1036"/>
      <c r="L218" s="1497"/>
      <c r="M218" s="1497"/>
      <c r="N218" s="1036"/>
      <c r="O218" s="1036"/>
      <c r="P218" s="1036"/>
      <c r="Q218" s="1036"/>
      <c r="R218" s="1497"/>
      <c r="S218" s="1036"/>
      <c r="T218" s="1036"/>
      <c r="U218" s="471"/>
      <c r="V218" s="1036"/>
      <c r="W218" s="1036"/>
      <c r="X218" s="1036"/>
      <c r="Y218" s="1036"/>
      <c r="Z218" s="1036"/>
      <c r="AA218" s="1493"/>
      <c r="AB218" s="493"/>
      <c r="AC218" s="493"/>
      <c r="AD218" s="493"/>
      <c r="AE218" s="493"/>
    </row>
    <row r="219" spans="1:31" s="1720" customFormat="1" ht="11.25" customHeight="1">
      <c r="A219" s="880"/>
      <c r="B219" s="1497"/>
      <c r="C219" s="1497"/>
      <c r="D219" s="275"/>
      <c r="K219" s="1036"/>
      <c r="L219" s="1497"/>
      <c r="M219" s="1497"/>
      <c r="N219" s="1036"/>
      <c r="O219" s="1036"/>
      <c r="P219" s="1036"/>
      <c r="Q219" s="1036"/>
      <c r="R219" s="1497"/>
      <c r="S219" s="1036"/>
      <c r="T219" s="1036"/>
      <c r="U219" s="471"/>
      <c r="V219" s="1036"/>
      <c r="W219" s="1036"/>
      <c r="X219" s="1036"/>
      <c r="Y219" s="1036"/>
      <c r="Z219" s="1036"/>
      <c r="AA219" s="1493"/>
      <c r="AB219" s="493"/>
      <c r="AC219" s="493"/>
      <c r="AD219" s="493"/>
      <c r="AE219" s="493"/>
    </row>
    <row r="220" spans="1:31" s="1720" customFormat="1" ht="11.25" customHeight="1">
      <c r="A220" s="880"/>
      <c r="B220" s="1497"/>
      <c r="C220" s="1497"/>
      <c r="D220" s="275"/>
      <c r="K220" s="1036"/>
      <c r="L220" s="1497"/>
      <c r="M220" s="1497"/>
      <c r="N220" s="1036"/>
      <c r="O220" s="1036"/>
      <c r="P220" s="1036"/>
      <c r="Q220" s="1036"/>
      <c r="R220" s="1497"/>
      <c r="S220" s="1036"/>
      <c r="T220" s="1036"/>
      <c r="U220" s="471"/>
      <c r="V220" s="1036"/>
      <c r="W220" s="1036"/>
      <c r="X220" s="1036"/>
      <c r="Y220" s="1036"/>
      <c r="Z220" s="1036"/>
      <c r="AA220" s="1493"/>
      <c r="AB220" s="493"/>
      <c r="AC220" s="493"/>
      <c r="AD220" s="493"/>
      <c r="AE220" s="493"/>
    </row>
    <row r="221" spans="1:31" s="1720" customFormat="1" ht="11.25" customHeight="1">
      <c r="A221" s="880"/>
      <c r="B221" s="1497"/>
      <c r="C221" s="1497"/>
      <c r="D221" s="275"/>
      <c r="K221" s="1036"/>
      <c r="L221" s="1497"/>
      <c r="M221" s="1497"/>
      <c r="N221" s="1036"/>
      <c r="O221" s="1036"/>
      <c r="P221" s="1036"/>
      <c r="Q221" s="1036"/>
      <c r="R221" s="1497"/>
      <c r="S221" s="1036"/>
      <c r="T221" s="1036"/>
      <c r="U221" s="471"/>
      <c r="V221" s="1036"/>
      <c r="W221" s="1036"/>
      <c r="X221" s="1036"/>
      <c r="Y221" s="1036"/>
      <c r="Z221" s="1036"/>
      <c r="AA221" s="1493"/>
      <c r="AB221" s="493"/>
      <c r="AC221" s="493"/>
      <c r="AD221" s="493"/>
      <c r="AE221" s="493"/>
    </row>
    <row r="222" spans="1:31" s="1720" customFormat="1" ht="11.25" customHeight="1">
      <c r="A222" s="880"/>
      <c r="B222" s="1497"/>
      <c r="C222" s="1497"/>
      <c r="D222" s="275"/>
      <c r="K222" s="1036"/>
      <c r="L222" s="1497"/>
      <c r="M222" s="1497"/>
      <c r="N222" s="1036"/>
      <c r="O222" s="1036"/>
      <c r="P222" s="1036"/>
      <c r="Q222" s="1036"/>
      <c r="R222" s="1497"/>
      <c r="S222" s="1036"/>
      <c r="T222" s="1036"/>
      <c r="U222" s="471"/>
      <c r="V222" s="1036"/>
      <c r="W222" s="1036"/>
      <c r="X222" s="1036"/>
      <c r="Y222" s="1036"/>
      <c r="Z222" s="1036"/>
      <c r="AA222" s="1493"/>
      <c r="AB222" s="493"/>
      <c r="AC222" s="493"/>
      <c r="AD222" s="493"/>
      <c r="AE222" s="493"/>
    </row>
    <row r="223" spans="1:31" s="1720" customFormat="1" ht="11.25" customHeight="1">
      <c r="A223" s="880"/>
      <c r="B223" s="1497"/>
      <c r="C223" s="1497"/>
      <c r="D223" s="275"/>
      <c r="K223" s="1036"/>
      <c r="L223" s="1497"/>
      <c r="M223" s="1497"/>
      <c r="N223" s="1036"/>
      <c r="O223" s="1036"/>
      <c r="P223" s="1036"/>
      <c r="Q223" s="1036"/>
      <c r="R223" s="1497"/>
      <c r="S223" s="1036"/>
      <c r="T223" s="1036"/>
      <c r="U223" s="471"/>
      <c r="V223" s="1036"/>
      <c r="W223" s="1036"/>
      <c r="X223" s="1036"/>
      <c r="Y223" s="1036"/>
      <c r="Z223" s="1036"/>
      <c r="AA223" s="1493"/>
      <c r="AB223" s="493"/>
      <c r="AC223" s="493"/>
      <c r="AD223" s="493"/>
      <c r="AE223" s="493"/>
    </row>
    <row r="224" spans="1:31" s="1720" customFormat="1" ht="11.25" customHeight="1">
      <c r="A224" s="880"/>
      <c r="B224" s="1497"/>
      <c r="C224" s="1497"/>
      <c r="D224" s="275"/>
      <c r="K224" s="1036"/>
      <c r="L224" s="1497"/>
      <c r="M224" s="1497"/>
      <c r="N224" s="1036"/>
      <c r="O224" s="1036"/>
      <c r="P224" s="1036"/>
      <c r="Q224" s="1036"/>
      <c r="R224" s="1497"/>
      <c r="S224" s="1036"/>
      <c r="T224" s="1036"/>
      <c r="U224" s="471"/>
      <c r="V224" s="1036"/>
      <c r="W224" s="1036"/>
      <c r="X224" s="1036"/>
      <c r="Y224" s="1036"/>
      <c r="Z224" s="1036"/>
      <c r="AA224" s="1493"/>
      <c r="AB224" s="493"/>
      <c r="AC224" s="493"/>
      <c r="AD224" s="493"/>
      <c r="AE224" s="493"/>
    </row>
    <row r="225" spans="1:31" s="1720" customFormat="1" ht="11.25" customHeight="1">
      <c r="A225" s="880"/>
      <c r="B225" s="1497"/>
      <c r="C225" s="1497"/>
      <c r="D225" s="275"/>
      <c r="K225" s="1036"/>
      <c r="L225" s="1497"/>
      <c r="M225" s="1497"/>
      <c r="N225" s="1036"/>
      <c r="O225" s="1036"/>
      <c r="P225" s="1036"/>
      <c r="Q225" s="1036"/>
      <c r="R225" s="1497"/>
      <c r="S225" s="1036"/>
      <c r="T225" s="1036"/>
      <c r="U225" s="471"/>
      <c r="V225" s="1036"/>
      <c r="W225" s="1036"/>
      <c r="X225" s="1036"/>
      <c r="Y225" s="1036"/>
      <c r="Z225" s="1036"/>
      <c r="AA225" s="1493"/>
      <c r="AB225" s="493"/>
      <c r="AC225" s="493"/>
      <c r="AD225" s="493"/>
      <c r="AE225" s="493"/>
    </row>
    <row r="226" spans="1:31" s="1720" customFormat="1" ht="11.25" customHeight="1">
      <c r="A226" s="880"/>
      <c r="B226" s="1497"/>
      <c r="C226" s="1497"/>
      <c r="D226" s="275"/>
      <c r="K226" s="1036"/>
      <c r="L226" s="1497"/>
      <c r="M226" s="1497"/>
      <c r="N226" s="1036"/>
      <c r="O226" s="1036"/>
      <c r="P226" s="1036"/>
      <c r="Q226" s="1036"/>
      <c r="R226" s="1497"/>
      <c r="S226" s="1036"/>
      <c r="T226" s="1036"/>
      <c r="U226" s="471"/>
      <c r="V226" s="1036"/>
      <c r="W226" s="1036"/>
      <c r="X226" s="1036"/>
      <c r="Y226" s="1036"/>
      <c r="Z226" s="1036"/>
      <c r="AA226" s="1493"/>
      <c r="AB226" s="493"/>
      <c r="AC226" s="493"/>
      <c r="AD226" s="493"/>
      <c r="AE226" s="493"/>
    </row>
    <row r="227" spans="1:31" s="1720" customFormat="1" ht="11.25" customHeight="1">
      <c r="A227" s="880"/>
      <c r="B227" s="1497"/>
      <c r="C227" s="1497"/>
      <c r="D227" s="275"/>
      <c r="K227" s="1036"/>
      <c r="L227" s="1497"/>
      <c r="M227" s="1497"/>
      <c r="N227" s="1036"/>
      <c r="O227" s="1036"/>
      <c r="P227" s="1036"/>
      <c r="Q227" s="1036"/>
      <c r="R227" s="1497"/>
      <c r="S227" s="1036"/>
      <c r="T227" s="1036"/>
      <c r="U227" s="471"/>
      <c r="V227" s="1036"/>
      <c r="W227" s="1036"/>
      <c r="X227" s="1036"/>
      <c r="Y227" s="1036"/>
      <c r="Z227" s="1036"/>
      <c r="AA227" s="1493"/>
      <c r="AB227" s="493"/>
      <c r="AC227" s="493"/>
      <c r="AD227" s="493"/>
      <c r="AE227" s="493"/>
    </row>
    <row r="228" spans="1:31" s="1720" customFormat="1" ht="11.25" customHeight="1">
      <c r="A228" s="880"/>
      <c r="B228" s="1497"/>
      <c r="C228" s="1497"/>
      <c r="D228" s="275"/>
      <c r="K228" s="1036"/>
      <c r="L228" s="1497"/>
      <c r="M228" s="1497"/>
      <c r="N228" s="1036"/>
      <c r="O228" s="1036"/>
      <c r="P228" s="1036"/>
      <c r="Q228" s="1036"/>
      <c r="R228" s="1497"/>
      <c r="S228" s="1036"/>
      <c r="T228" s="1036"/>
      <c r="U228" s="471"/>
      <c r="V228" s="1036"/>
      <c r="W228" s="1036"/>
      <c r="X228" s="1036"/>
      <c r="Y228" s="1036"/>
      <c r="Z228" s="1036"/>
      <c r="AA228" s="1493"/>
      <c r="AB228" s="493"/>
      <c r="AC228" s="493"/>
      <c r="AD228" s="493"/>
      <c r="AE228" s="493"/>
    </row>
    <row r="229" spans="1:31" s="1720" customFormat="1" ht="11.25" customHeight="1">
      <c r="A229" s="880"/>
      <c r="B229" s="1497"/>
      <c r="C229" s="1497"/>
      <c r="D229" s="275"/>
      <c r="K229" s="1036"/>
      <c r="L229" s="1497"/>
      <c r="M229" s="1497"/>
      <c r="N229" s="1036"/>
      <c r="O229" s="1036"/>
      <c r="P229" s="1036"/>
      <c r="Q229" s="1036"/>
      <c r="R229" s="1497"/>
      <c r="S229" s="1036"/>
      <c r="T229" s="1036"/>
      <c r="U229" s="471"/>
      <c r="V229" s="1036"/>
      <c r="W229" s="1036"/>
      <c r="X229" s="1036"/>
      <c r="Y229" s="1036"/>
      <c r="Z229" s="1036"/>
      <c r="AA229" s="1493"/>
      <c r="AB229" s="493"/>
      <c r="AC229" s="493"/>
      <c r="AD229" s="493"/>
      <c r="AE229" s="493"/>
    </row>
    <row r="230" spans="1:31" s="1720" customFormat="1" ht="11.25" customHeight="1">
      <c r="A230" s="880"/>
      <c r="B230" s="1497"/>
      <c r="C230" s="1497"/>
      <c r="D230" s="275"/>
      <c r="K230" s="1036"/>
      <c r="L230" s="1497"/>
      <c r="M230" s="1497"/>
      <c r="N230" s="1036"/>
      <c r="O230" s="1036"/>
      <c r="P230" s="1036"/>
      <c r="Q230" s="1036"/>
      <c r="R230" s="1497"/>
      <c r="S230" s="1036"/>
      <c r="T230" s="1036"/>
      <c r="U230" s="471"/>
      <c r="V230" s="1036"/>
      <c r="W230" s="1036"/>
      <c r="X230" s="1036"/>
      <c r="Y230" s="1036"/>
      <c r="Z230" s="1036"/>
      <c r="AA230" s="1493"/>
      <c r="AB230" s="493"/>
      <c r="AC230" s="493"/>
      <c r="AD230" s="493"/>
      <c r="AE230" s="493"/>
    </row>
    <row r="231" spans="1:31" s="1720" customFormat="1" ht="11.25" customHeight="1">
      <c r="A231" s="880"/>
      <c r="B231" s="1497"/>
      <c r="C231" s="1497"/>
      <c r="D231" s="275"/>
      <c r="K231" s="1036"/>
      <c r="L231" s="1497"/>
      <c r="M231" s="1497"/>
      <c r="N231" s="1036"/>
      <c r="O231" s="1036"/>
      <c r="P231" s="1036"/>
      <c r="Q231" s="1036"/>
      <c r="R231" s="1497"/>
      <c r="S231" s="1036"/>
      <c r="T231" s="1036"/>
      <c r="U231" s="471"/>
      <c r="V231" s="1036"/>
      <c r="W231" s="1036"/>
      <c r="X231" s="1036"/>
      <c r="Y231" s="1036"/>
      <c r="Z231" s="1036"/>
      <c r="AA231" s="1493"/>
      <c r="AB231" s="493"/>
      <c r="AC231" s="493"/>
      <c r="AD231" s="493"/>
      <c r="AE231" s="493"/>
    </row>
    <row r="232" spans="1:31" s="1720" customFormat="1" ht="11.25" customHeight="1">
      <c r="A232" s="880"/>
      <c r="B232" s="1497"/>
      <c r="C232" s="1497"/>
      <c r="D232" s="275"/>
      <c r="K232" s="1036"/>
      <c r="L232" s="1497"/>
      <c r="M232" s="1497"/>
      <c r="N232" s="1036"/>
      <c r="O232" s="1036"/>
      <c r="P232" s="1036"/>
      <c r="Q232" s="1036"/>
      <c r="R232" s="1497"/>
      <c r="S232" s="1036"/>
      <c r="T232" s="1036"/>
      <c r="U232" s="471"/>
      <c r="V232" s="1036"/>
      <c r="W232" s="1036"/>
      <c r="X232" s="1036"/>
      <c r="Y232" s="1036"/>
      <c r="Z232" s="1036"/>
      <c r="AA232" s="1493"/>
      <c r="AB232" s="493"/>
      <c r="AC232" s="493"/>
      <c r="AD232" s="493"/>
      <c r="AE232" s="493"/>
    </row>
    <row r="233" spans="1:31" s="1720" customFormat="1" ht="11.25" customHeight="1">
      <c r="A233" s="880"/>
      <c r="B233" s="1497"/>
      <c r="C233" s="1497"/>
      <c r="D233" s="275"/>
      <c r="K233" s="1036"/>
      <c r="L233" s="1497"/>
      <c r="M233" s="1497"/>
      <c r="N233" s="1036"/>
      <c r="O233" s="1036"/>
      <c r="P233" s="1036"/>
      <c r="Q233" s="1036"/>
      <c r="R233" s="1497"/>
      <c r="S233" s="1036"/>
      <c r="T233" s="1036"/>
      <c r="U233" s="471"/>
      <c r="V233" s="1036"/>
      <c r="W233" s="1036"/>
      <c r="X233" s="1036"/>
      <c r="Y233" s="1036"/>
      <c r="Z233" s="1036"/>
      <c r="AA233" s="1493"/>
      <c r="AB233" s="493"/>
      <c r="AC233" s="493"/>
      <c r="AD233" s="493"/>
      <c r="AE233" s="493"/>
    </row>
    <row r="234" spans="1:31" s="1720" customFormat="1" ht="11.25" customHeight="1">
      <c r="A234" s="880"/>
      <c r="B234" s="1497"/>
      <c r="C234" s="1497"/>
      <c r="D234" s="275"/>
      <c r="K234" s="1036"/>
      <c r="L234" s="1497"/>
      <c r="M234" s="1497"/>
      <c r="N234" s="1036"/>
      <c r="O234" s="1036"/>
      <c r="P234" s="1036"/>
      <c r="Q234" s="1036"/>
      <c r="R234" s="1497"/>
      <c r="S234" s="1036"/>
      <c r="T234" s="1036"/>
      <c r="U234" s="471"/>
      <c r="V234" s="1036"/>
      <c r="W234" s="1036"/>
      <c r="X234" s="1036"/>
      <c r="Y234" s="1036"/>
      <c r="Z234" s="1036"/>
      <c r="AA234" s="1493"/>
      <c r="AB234" s="493"/>
      <c r="AC234" s="493"/>
      <c r="AD234" s="493"/>
      <c r="AE234" s="493"/>
    </row>
    <row r="235" spans="1:31" s="1720" customFormat="1" ht="11.25" customHeight="1">
      <c r="A235" s="880"/>
      <c r="B235" s="1497"/>
      <c r="C235" s="1497"/>
      <c r="D235" s="275"/>
      <c r="K235" s="1036"/>
      <c r="L235" s="1497"/>
      <c r="M235" s="1497"/>
      <c r="N235" s="1036"/>
      <c r="O235" s="1036"/>
      <c r="P235" s="1036"/>
      <c r="Q235" s="1036"/>
      <c r="R235" s="1497"/>
      <c r="S235" s="1036"/>
      <c r="T235" s="1036"/>
      <c r="U235" s="471"/>
      <c r="V235" s="1036"/>
      <c r="W235" s="1036"/>
      <c r="X235" s="1036"/>
      <c r="Y235" s="1036"/>
      <c r="Z235" s="1036"/>
      <c r="AA235" s="1493"/>
      <c r="AB235" s="493"/>
      <c r="AC235" s="493"/>
      <c r="AD235" s="493"/>
      <c r="AE235" s="493"/>
    </row>
    <row r="236" spans="1:31" s="1720" customFormat="1" ht="11.25" customHeight="1">
      <c r="A236" s="880"/>
      <c r="B236" s="1497"/>
      <c r="C236" s="1497"/>
      <c r="D236" s="275"/>
      <c r="K236" s="1036"/>
      <c r="L236" s="1497"/>
      <c r="M236" s="1497"/>
      <c r="N236" s="1036"/>
      <c r="O236" s="1036"/>
      <c r="P236" s="1036"/>
      <c r="Q236" s="1036"/>
      <c r="R236" s="1497"/>
      <c r="S236" s="1036"/>
      <c r="T236" s="1036"/>
      <c r="U236" s="471"/>
      <c r="V236" s="1036"/>
      <c r="W236" s="1036"/>
      <c r="X236" s="1036"/>
      <c r="Y236" s="1036"/>
      <c r="Z236" s="1036"/>
      <c r="AA236" s="1493"/>
      <c r="AB236" s="493"/>
      <c r="AC236" s="493"/>
      <c r="AD236" s="493"/>
      <c r="AE236" s="493"/>
    </row>
    <row r="237" spans="1:31" s="1720" customFormat="1" ht="11.25" customHeight="1">
      <c r="A237" s="880"/>
      <c r="B237" s="1497"/>
      <c r="C237" s="1497"/>
      <c r="D237" s="275"/>
      <c r="K237" s="1036"/>
      <c r="L237" s="1497"/>
      <c r="M237" s="1497"/>
      <c r="N237" s="1036"/>
      <c r="O237" s="1036"/>
      <c r="P237" s="1036"/>
      <c r="Q237" s="1036"/>
      <c r="R237" s="1497"/>
      <c r="S237" s="1036"/>
      <c r="T237" s="1036"/>
      <c r="U237" s="471"/>
      <c r="V237" s="1036"/>
      <c r="W237" s="1036"/>
      <c r="X237" s="1036"/>
      <c r="Y237" s="1036"/>
      <c r="Z237" s="1036"/>
      <c r="AA237" s="1493"/>
      <c r="AB237" s="493"/>
      <c r="AC237" s="493"/>
      <c r="AD237" s="493"/>
      <c r="AE237" s="493"/>
    </row>
    <row r="238" spans="1:31" s="1720" customFormat="1" ht="11.25" customHeight="1">
      <c r="A238" s="880"/>
      <c r="B238" s="1497"/>
      <c r="C238" s="1497"/>
      <c r="D238" s="275"/>
      <c r="K238" s="1036"/>
      <c r="L238" s="1497"/>
      <c r="M238" s="1497"/>
      <c r="N238" s="1036"/>
      <c r="O238" s="1036"/>
      <c r="P238" s="1036"/>
      <c r="Q238" s="1036"/>
      <c r="R238" s="1497"/>
      <c r="S238" s="1036"/>
      <c r="T238" s="1036"/>
      <c r="U238" s="471"/>
      <c r="V238" s="1036"/>
      <c r="W238" s="1036"/>
      <c r="X238" s="1036"/>
      <c r="Y238" s="1036"/>
      <c r="Z238" s="1036"/>
      <c r="AA238" s="1493"/>
      <c r="AB238" s="493"/>
      <c r="AC238" s="493"/>
      <c r="AD238" s="493"/>
      <c r="AE238" s="493"/>
    </row>
    <row r="239" spans="1:31" s="1720" customFormat="1" ht="11.25" customHeight="1">
      <c r="A239" s="880"/>
      <c r="B239" s="1497"/>
      <c r="C239" s="1497"/>
      <c r="D239" s="275"/>
      <c r="K239" s="1036"/>
      <c r="L239" s="1497"/>
      <c r="M239" s="1497"/>
      <c r="N239" s="1036"/>
      <c r="O239" s="1036"/>
      <c r="P239" s="1036"/>
      <c r="Q239" s="1036"/>
      <c r="R239" s="1497"/>
      <c r="S239" s="1036"/>
      <c r="T239" s="1036"/>
      <c r="U239" s="471"/>
      <c r="V239" s="1036"/>
      <c r="W239" s="1036"/>
      <c r="X239" s="1036"/>
      <c r="Y239" s="1036"/>
      <c r="Z239" s="1036"/>
      <c r="AA239" s="1493"/>
      <c r="AB239" s="493"/>
      <c r="AC239" s="493"/>
      <c r="AD239" s="493"/>
      <c r="AE239" s="493"/>
    </row>
    <row r="240" spans="1:31" s="1720" customFormat="1" ht="11.25" customHeight="1">
      <c r="A240" s="880"/>
      <c r="B240" s="1497"/>
      <c r="C240" s="1497"/>
      <c r="D240" s="275"/>
      <c r="K240" s="1036"/>
      <c r="L240" s="1497"/>
      <c r="M240" s="1497"/>
      <c r="N240" s="1036"/>
      <c r="O240" s="1036"/>
      <c r="P240" s="1036"/>
      <c r="Q240" s="1036"/>
      <c r="R240" s="1497"/>
      <c r="S240" s="1036"/>
      <c r="T240" s="1036"/>
      <c r="U240" s="471"/>
      <c r="V240" s="1036"/>
      <c r="W240" s="1036"/>
      <c r="X240" s="1036"/>
      <c r="Y240" s="1036"/>
      <c r="Z240" s="1036"/>
      <c r="AA240" s="1493"/>
      <c r="AB240" s="493"/>
      <c r="AC240" s="493"/>
      <c r="AD240" s="493"/>
      <c r="AE240" s="493"/>
    </row>
    <row r="241" spans="1:31" s="1720" customFormat="1" ht="11.25" customHeight="1">
      <c r="A241" s="880"/>
      <c r="B241" s="1497"/>
      <c r="C241" s="1497"/>
      <c r="D241" s="275"/>
      <c r="K241" s="1036"/>
      <c r="L241" s="1497"/>
      <c r="M241" s="1497"/>
      <c r="N241" s="1036"/>
      <c r="O241" s="1036"/>
      <c r="P241" s="1036"/>
      <c r="Q241" s="1036"/>
      <c r="R241" s="1497"/>
      <c r="S241" s="1036"/>
      <c r="T241" s="1036"/>
      <c r="U241" s="471"/>
      <c r="V241" s="1036"/>
      <c r="W241" s="1036"/>
      <c r="X241" s="1036"/>
      <c r="Y241" s="1036"/>
      <c r="Z241" s="1036"/>
      <c r="AA241" s="1493"/>
      <c r="AB241" s="493"/>
      <c r="AC241" s="493"/>
      <c r="AD241" s="493"/>
      <c r="AE241" s="493"/>
    </row>
    <row r="242" spans="1:31" s="1720" customFormat="1" ht="11.25" customHeight="1">
      <c r="A242" s="880"/>
      <c r="B242" s="1497"/>
      <c r="C242" s="1497"/>
      <c r="D242" s="275"/>
      <c r="K242" s="1036"/>
      <c r="L242" s="1497"/>
      <c r="M242" s="1497"/>
      <c r="N242" s="1036"/>
      <c r="O242" s="1036"/>
      <c r="P242" s="1036"/>
      <c r="Q242" s="1036"/>
      <c r="R242" s="1497"/>
      <c r="S242" s="1036"/>
      <c r="T242" s="1036"/>
      <c r="U242" s="471"/>
      <c r="V242" s="1036"/>
      <c r="W242" s="1036"/>
      <c r="X242" s="1036"/>
      <c r="Y242" s="1036"/>
      <c r="Z242" s="1036"/>
      <c r="AA242" s="1493"/>
      <c r="AB242" s="493"/>
      <c r="AC242" s="493"/>
      <c r="AD242" s="493"/>
      <c r="AE242" s="493"/>
    </row>
    <row r="243" spans="1:31" s="1720" customFormat="1" ht="11.25" customHeight="1">
      <c r="A243" s="880"/>
      <c r="B243" s="1497"/>
      <c r="C243" s="1497"/>
      <c r="D243" s="275"/>
      <c r="K243" s="1036"/>
      <c r="L243" s="1497"/>
      <c r="M243" s="1497"/>
      <c r="N243" s="1036"/>
      <c r="O243" s="1036"/>
      <c r="P243" s="1036"/>
      <c r="Q243" s="1036"/>
      <c r="R243" s="1497"/>
      <c r="S243" s="1036"/>
      <c r="T243" s="1036"/>
      <c r="U243" s="471"/>
      <c r="V243" s="1036"/>
      <c r="W243" s="1036"/>
      <c r="X243" s="1036"/>
      <c r="Y243" s="1036"/>
      <c r="Z243" s="1036"/>
      <c r="AA243" s="1493"/>
      <c r="AB243" s="493"/>
      <c r="AC243" s="493"/>
      <c r="AD243" s="493"/>
      <c r="AE243" s="493"/>
    </row>
    <row r="244" spans="1:31" s="1720" customFormat="1" ht="11.25" customHeight="1">
      <c r="A244" s="880"/>
      <c r="B244" s="1497"/>
      <c r="C244" s="1497"/>
      <c r="D244" s="275"/>
      <c r="K244" s="1036"/>
      <c r="L244" s="1497"/>
      <c r="M244" s="1497"/>
      <c r="N244" s="1036"/>
      <c r="O244" s="1036"/>
      <c r="P244" s="1036"/>
      <c r="Q244" s="1036"/>
      <c r="R244" s="1497"/>
      <c r="S244" s="1036"/>
      <c r="T244" s="1036"/>
      <c r="U244" s="471"/>
      <c r="V244" s="1036"/>
      <c r="W244" s="1036"/>
      <c r="X244" s="1036"/>
      <c r="Y244" s="1036"/>
      <c r="Z244" s="1036"/>
      <c r="AA244" s="1493"/>
      <c r="AB244" s="493"/>
      <c r="AC244" s="493"/>
      <c r="AD244" s="493"/>
      <c r="AE244" s="493"/>
    </row>
    <row r="245" spans="1:31" s="1720" customFormat="1" ht="11.25" customHeight="1">
      <c r="A245" s="880"/>
      <c r="B245" s="1497"/>
      <c r="C245" s="1497"/>
      <c r="D245" s="275"/>
      <c r="K245" s="1036"/>
      <c r="L245" s="1497"/>
      <c r="M245" s="1497"/>
      <c r="N245" s="1036"/>
      <c r="O245" s="1036"/>
      <c r="P245" s="1036"/>
      <c r="Q245" s="1036"/>
      <c r="R245" s="1497"/>
      <c r="S245" s="1036"/>
      <c r="T245" s="1036"/>
      <c r="U245" s="471"/>
      <c r="V245" s="1036"/>
      <c r="W245" s="1036"/>
      <c r="X245" s="1036"/>
      <c r="Y245" s="1036"/>
      <c r="Z245" s="1036"/>
      <c r="AA245" s="1493"/>
      <c r="AB245" s="493"/>
      <c r="AC245" s="493"/>
      <c r="AD245" s="493"/>
      <c r="AE245" s="493"/>
    </row>
    <row r="246" spans="1:31" s="1720" customFormat="1" ht="11.25" customHeight="1">
      <c r="A246" s="880"/>
      <c r="B246" s="1497"/>
      <c r="C246" s="1497"/>
      <c r="D246" s="275"/>
      <c r="K246" s="1036"/>
      <c r="L246" s="1497"/>
      <c r="M246" s="1497"/>
      <c r="N246" s="1036"/>
      <c r="O246" s="1036"/>
      <c r="P246" s="1036"/>
      <c r="Q246" s="1036"/>
      <c r="R246" s="1497"/>
      <c r="S246" s="1036"/>
      <c r="T246" s="1036"/>
      <c r="U246" s="471"/>
      <c r="V246" s="1036"/>
      <c r="W246" s="1036"/>
      <c r="X246" s="1036"/>
      <c r="Y246" s="1036"/>
      <c r="Z246" s="1036"/>
      <c r="AA246" s="1493"/>
      <c r="AB246" s="493"/>
      <c r="AC246" s="493"/>
      <c r="AD246" s="493"/>
      <c r="AE246" s="493"/>
    </row>
    <row r="247" spans="1:31" s="1720" customFormat="1" ht="11.25" customHeight="1">
      <c r="A247" s="880"/>
      <c r="B247" s="1497"/>
      <c r="C247" s="1497"/>
      <c r="D247" s="275"/>
      <c r="K247" s="1036"/>
      <c r="L247" s="1497"/>
      <c r="M247" s="1497"/>
      <c r="N247" s="1036"/>
      <c r="O247" s="1036"/>
      <c r="P247" s="1036"/>
      <c r="Q247" s="1036"/>
      <c r="R247" s="1497"/>
      <c r="S247" s="1036"/>
      <c r="T247" s="1036"/>
      <c r="U247" s="471"/>
      <c r="V247" s="1036"/>
      <c r="W247" s="1036"/>
      <c r="X247" s="1036"/>
      <c r="Y247" s="1036"/>
      <c r="Z247" s="1036"/>
      <c r="AA247" s="1493"/>
      <c r="AB247" s="493"/>
      <c r="AC247" s="493"/>
      <c r="AD247" s="493"/>
      <c r="AE247" s="493"/>
    </row>
    <row r="248" spans="1:31" s="1720" customFormat="1" ht="11.25" customHeight="1">
      <c r="A248" s="880"/>
      <c r="B248" s="1497"/>
      <c r="C248" s="1497"/>
      <c r="D248" s="275"/>
      <c r="K248" s="1036"/>
      <c r="L248" s="1497"/>
      <c r="M248" s="1497"/>
      <c r="N248" s="1036"/>
      <c r="O248" s="1036"/>
      <c r="P248" s="1036"/>
      <c r="Q248" s="1036"/>
      <c r="R248" s="1497"/>
      <c r="S248" s="1036"/>
      <c r="T248" s="1036"/>
      <c r="U248" s="471"/>
      <c r="V248" s="1036"/>
      <c r="W248" s="1036"/>
      <c r="X248" s="1036"/>
      <c r="Y248" s="1036"/>
      <c r="Z248" s="1036"/>
      <c r="AA248" s="1493"/>
      <c r="AB248" s="493"/>
      <c r="AC248" s="493"/>
      <c r="AD248" s="493"/>
      <c r="AE248" s="493"/>
    </row>
    <row r="249" spans="1:31" s="1720" customFormat="1" ht="11.25" customHeight="1">
      <c r="A249" s="880"/>
      <c r="B249" s="1497"/>
      <c r="C249" s="1497"/>
      <c r="D249" s="275"/>
      <c r="K249" s="1036"/>
      <c r="L249" s="1497"/>
      <c r="M249" s="1497"/>
      <c r="N249" s="1036"/>
      <c r="O249" s="1036"/>
      <c r="P249" s="1036"/>
      <c r="Q249" s="1036"/>
      <c r="R249" s="1497"/>
      <c r="S249" s="1036"/>
      <c r="T249" s="1036"/>
      <c r="U249" s="471"/>
      <c r="V249" s="1036"/>
      <c r="W249" s="1036"/>
      <c r="X249" s="1036"/>
      <c r="Y249" s="1036"/>
      <c r="Z249" s="1036"/>
      <c r="AA249" s="1493"/>
      <c r="AB249" s="493"/>
      <c r="AC249" s="493"/>
      <c r="AD249" s="493"/>
      <c r="AE249" s="493"/>
    </row>
    <row r="250" spans="1:31" s="1720" customFormat="1" ht="11.25" customHeight="1">
      <c r="A250" s="880"/>
      <c r="B250" s="1497"/>
      <c r="C250" s="1497"/>
      <c r="D250" s="275"/>
      <c r="K250" s="1036"/>
      <c r="L250" s="1497"/>
      <c r="M250" s="1497"/>
      <c r="N250" s="1036"/>
      <c r="O250" s="1036"/>
      <c r="P250" s="1036"/>
      <c r="Q250" s="1036"/>
      <c r="R250" s="1497"/>
      <c r="S250" s="1036"/>
      <c r="T250" s="1036"/>
      <c r="U250" s="471"/>
      <c r="V250" s="1036"/>
      <c r="W250" s="1036"/>
      <c r="X250" s="1036"/>
      <c r="Y250" s="1036"/>
      <c r="Z250" s="1036"/>
      <c r="AA250" s="1493"/>
      <c r="AB250" s="493"/>
      <c r="AC250" s="493"/>
      <c r="AD250" s="493"/>
      <c r="AE250" s="493"/>
    </row>
    <row r="251" spans="1:31" s="1720" customFormat="1" ht="11.25" customHeight="1">
      <c r="A251" s="880"/>
      <c r="B251" s="1497"/>
      <c r="C251" s="1497"/>
      <c r="D251" s="275"/>
      <c r="K251" s="1036"/>
      <c r="L251" s="1497"/>
      <c r="M251" s="1497"/>
      <c r="N251" s="1036"/>
      <c r="O251" s="1036"/>
      <c r="P251" s="1036"/>
      <c r="Q251" s="1036"/>
      <c r="R251" s="1497"/>
      <c r="S251" s="1036"/>
      <c r="T251" s="1036"/>
      <c r="U251" s="471"/>
      <c r="V251" s="1036"/>
      <c r="W251" s="1036"/>
      <c r="X251" s="1036"/>
      <c r="Y251" s="1036"/>
      <c r="Z251" s="1036"/>
      <c r="AA251" s="1493"/>
      <c r="AB251" s="493"/>
      <c r="AC251" s="493"/>
      <c r="AD251" s="493"/>
      <c r="AE251" s="493"/>
    </row>
    <row r="252" spans="1:31" s="1720" customFormat="1" ht="11.25" customHeight="1">
      <c r="A252" s="880"/>
      <c r="B252" s="1497"/>
      <c r="C252" s="1497"/>
      <c r="D252" s="275"/>
      <c r="K252" s="1036"/>
      <c r="L252" s="1497"/>
      <c r="M252" s="1497"/>
      <c r="N252" s="1036"/>
      <c r="O252" s="1036"/>
      <c r="P252" s="1036"/>
      <c r="Q252" s="1036"/>
      <c r="R252" s="1497"/>
      <c r="S252" s="1036"/>
      <c r="T252" s="1036"/>
      <c r="U252" s="471"/>
      <c r="V252" s="1036"/>
      <c r="W252" s="1036"/>
      <c r="X252" s="1036"/>
      <c r="Y252" s="1036"/>
      <c r="Z252" s="1036"/>
      <c r="AA252" s="1493"/>
      <c r="AB252" s="493"/>
      <c r="AC252" s="493"/>
      <c r="AD252" s="493"/>
      <c r="AE252" s="493"/>
    </row>
    <row r="253" spans="1:31" s="1720" customFormat="1" ht="11.25" customHeight="1">
      <c r="A253" s="880"/>
      <c r="B253" s="1497"/>
      <c r="C253" s="1497"/>
      <c r="D253" s="275"/>
      <c r="K253" s="1036"/>
      <c r="L253" s="1497"/>
      <c r="M253" s="1497"/>
      <c r="N253" s="1036"/>
      <c r="O253" s="1036"/>
      <c r="P253" s="1036"/>
      <c r="Q253" s="1036"/>
      <c r="R253" s="1497"/>
      <c r="S253" s="1036"/>
      <c r="T253" s="1036"/>
      <c r="U253" s="471"/>
      <c r="V253" s="1036"/>
      <c r="W253" s="1036"/>
      <c r="X253" s="1036"/>
      <c r="Y253" s="1036"/>
      <c r="Z253" s="1036"/>
      <c r="AA253" s="1493"/>
      <c r="AB253" s="493"/>
      <c r="AC253" s="493"/>
      <c r="AD253" s="493"/>
      <c r="AE253" s="493"/>
    </row>
    <row r="254" spans="1:31" s="1720" customFormat="1" ht="11.25" customHeight="1">
      <c r="A254" s="880"/>
      <c r="B254" s="1497"/>
      <c r="C254" s="1497"/>
      <c r="D254" s="275"/>
      <c r="K254" s="1036"/>
      <c r="L254" s="1497"/>
      <c r="M254" s="1497"/>
      <c r="N254" s="1036"/>
      <c r="O254" s="1036"/>
      <c r="P254" s="1036"/>
      <c r="Q254" s="1036"/>
      <c r="R254" s="1497"/>
      <c r="S254" s="1036"/>
      <c r="T254" s="1036"/>
      <c r="U254" s="471"/>
      <c r="V254" s="1036"/>
      <c r="W254" s="1036"/>
      <c r="X254" s="1036"/>
      <c r="Y254" s="1036"/>
      <c r="Z254" s="1036"/>
      <c r="AA254" s="1493"/>
      <c r="AB254" s="493"/>
      <c r="AC254" s="493"/>
      <c r="AD254" s="493"/>
      <c r="AE254" s="493"/>
    </row>
    <row r="255" spans="1:31" s="1720" customFormat="1" ht="11.25" customHeight="1">
      <c r="A255" s="880"/>
      <c r="B255" s="1497"/>
      <c r="C255" s="1497"/>
      <c r="D255" s="275"/>
      <c r="K255" s="1036"/>
      <c r="L255" s="1497"/>
      <c r="M255" s="1497"/>
      <c r="N255" s="1036"/>
      <c r="O255" s="1036"/>
      <c r="P255" s="1036"/>
      <c r="Q255" s="1036"/>
      <c r="R255" s="1497"/>
      <c r="S255" s="1036"/>
      <c r="T255" s="1036"/>
      <c r="U255" s="471"/>
      <c r="V255" s="1036"/>
      <c r="W255" s="1036"/>
      <c r="X255" s="1036"/>
      <c r="Y255" s="1036"/>
      <c r="Z255" s="1036"/>
      <c r="AA255" s="1493"/>
      <c r="AB255" s="493"/>
      <c r="AC255" s="493"/>
      <c r="AD255" s="493"/>
      <c r="AE255" s="493"/>
    </row>
    <row r="256" spans="1:31" s="1720" customFormat="1" ht="11.25" customHeight="1">
      <c r="A256" s="880"/>
      <c r="B256" s="1497"/>
      <c r="C256" s="1497"/>
      <c r="D256" s="275"/>
      <c r="K256" s="1036"/>
      <c r="L256" s="1497"/>
      <c r="M256" s="1497"/>
      <c r="N256" s="1036"/>
      <c r="O256" s="1036"/>
      <c r="P256" s="1036"/>
      <c r="Q256" s="1036"/>
      <c r="R256" s="1497"/>
      <c r="S256" s="1036"/>
      <c r="T256" s="1036"/>
      <c r="U256" s="471"/>
      <c r="V256" s="1036"/>
      <c r="W256" s="1036"/>
      <c r="X256" s="1036"/>
      <c r="Y256" s="1036"/>
      <c r="Z256" s="1036"/>
      <c r="AA256" s="1493"/>
      <c r="AB256" s="493"/>
      <c r="AC256" s="493"/>
      <c r="AD256" s="493"/>
      <c r="AE256" s="493"/>
    </row>
    <row r="257" spans="1:31" s="1720" customFormat="1" ht="11.25" customHeight="1">
      <c r="A257" s="880"/>
      <c r="B257" s="1497"/>
      <c r="C257" s="1497"/>
      <c r="D257" s="275"/>
      <c r="K257" s="1036"/>
      <c r="L257" s="1497"/>
      <c r="M257" s="1497"/>
      <c r="N257" s="1036"/>
      <c r="O257" s="1036"/>
      <c r="P257" s="1036"/>
      <c r="Q257" s="1036"/>
      <c r="R257" s="1497"/>
      <c r="S257" s="1036"/>
      <c r="T257" s="1036"/>
      <c r="U257" s="471"/>
      <c r="V257" s="1036"/>
      <c r="W257" s="1036"/>
      <c r="X257" s="1036"/>
      <c r="Y257" s="1036"/>
      <c r="Z257" s="1036"/>
      <c r="AA257" s="1493"/>
      <c r="AB257" s="493"/>
      <c r="AC257" s="493"/>
      <c r="AD257" s="493"/>
      <c r="AE257" s="493"/>
    </row>
    <row r="258" spans="1:31" s="1720" customFormat="1" ht="11.25" customHeight="1">
      <c r="A258" s="880"/>
      <c r="B258" s="1497"/>
      <c r="C258" s="1497"/>
      <c r="D258" s="275"/>
      <c r="K258" s="1036"/>
      <c r="L258" s="1497"/>
      <c r="M258" s="1497"/>
      <c r="N258" s="1036"/>
      <c r="O258" s="1036"/>
      <c r="P258" s="1036"/>
      <c r="Q258" s="1036"/>
      <c r="R258" s="1497"/>
      <c r="S258" s="1036"/>
      <c r="T258" s="1036"/>
      <c r="U258" s="471"/>
      <c r="V258" s="1036"/>
      <c r="W258" s="1036"/>
      <c r="X258" s="1036"/>
      <c r="Y258" s="1036"/>
      <c r="Z258" s="1036"/>
      <c r="AA258" s="1493"/>
      <c r="AB258" s="493"/>
      <c r="AC258" s="493"/>
      <c r="AD258" s="493"/>
      <c r="AE258" s="493"/>
    </row>
    <row r="259" spans="1:31" s="1720" customFormat="1" ht="11.25" customHeight="1">
      <c r="A259" s="880"/>
      <c r="B259" s="1497"/>
      <c r="C259" s="1497"/>
      <c r="D259" s="275"/>
      <c r="K259" s="1036"/>
      <c r="L259" s="1497"/>
      <c r="M259" s="1497"/>
      <c r="N259" s="1036"/>
      <c r="O259" s="1036"/>
      <c r="P259" s="1036"/>
      <c r="Q259" s="1036"/>
      <c r="R259" s="1497"/>
      <c r="S259" s="1036"/>
      <c r="T259" s="1036"/>
      <c r="U259" s="471"/>
      <c r="V259" s="1036"/>
      <c r="W259" s="1036"/>
      <c r="X259" s="1036"/>
      <c r="Y259" s="1036"/>
      <c r="Z259" s="1036"/>
      <c r="AA259" s="1493"/>
      <c r="AB259" s="493"/>
      <c r="AC259" s="493"/>
      <c r="AD259" s="493"/>
      <c r="AE259" s="493"/>
    </row>
    <row r="260" spans="1:31" s="1720" customFormat="1" ht="11.25" customHeight="1">
      <c r="A260" s="880"/>
      <c r="B260" s="1497"/>
      <c r="C260" s="1497"/>
      <c r="D260" s="275"/>
      <c r="K260" s="1036"/>
      <c r="L260" s="1497"/>
      <c r="M260" s="1497"/>
      <c r="N260" s="1036"/>
      <c r="O260" s="1036"/>
      <c r="P260" s="1036"/>
      <c r="Q260" s="1036"/>
      <c r="R260" s="1497"/>
      <c r="S260" s="1036"/>
      <c r="T260" s="1036"/>
      <c r="U260" s="471"/>
      <c r="V260" s="1036"/>
      <c r="W260" s="1036"/>
      <c r="X260" s="1036"/>
      <c r="Y260" s="1036"/>
      <c r="Z260" s="1036"/>
      <c r="AA260" s="1493"/>
      <c r="AB260" s="493"/>
      <c r="AC260" s="493"/>
      <c r="AD260" s="493"/>
      <c r="AE260" s="493"/>
    </row>
    <row r="261" spans="1:31" s="1720" customFormat="1" ht="11.25" customHeight="1">
      <c r="A261" s="880"/>
      <c r="B261" s="1497"/>
      <c r="C261" s="1497"/>
      <c r="D261" s="275"/>
      <c r="K261" s="1036"/>
      <c r="L261" s="1497"/>
      <c r="M261" s="1497"/>
      <c r="N261" s="1036"/>
      <c r="O261" s="1036"/>
      <c r="P261" s="1036"/>
      <c r="Q261" s="1036"/>
      <c r="R261" s="1497"/>
      <c r="S261" s="1036"/>
      <c r="T261" s="1036"/>
      <c r="U261" s="471"/>
      <c r="V261" s="1036"/>
      <c r="W261" s="1036"/>
      <c r="X261" s="1036"/>
      <c r="Y261" s="1036"/>
      <c r="Z261" s="1036"/>
      <c r="AA261" s="1493"/>
      <c r="AB261" s="493"/>
      <c r="AC261" s="493"/>
      <c r="AD261" s="493"/>
      <c r="AE261" s="493"/>
    </row>
    <row r="262" spans="1:31" s="1720" customFormat="1" ht="11.25" customHeight="1">
      <c r="A262" s="880"/>
      <c r="B262" s="1497"/>
      <c r="C262" s="1497"/>
      <c r="D262" s="275"/>
      <c r="K262" s="1036"/>
      <c r="L262" s="1497"/>
      <c r="M262" s="1497"/>
      <c r="N262" s="1036"/>
      <c r="O262" s="1036"/>
      <c r="P262" s="1036"/>
      <c r="Q262" s="1036"/>
      <c r="R262" s="1497"/>
      <c r="S262" s="1036"/>
      <c r="T262" s="1036"/>
      <c r="U262" s="471"/>
      <c r="V262" s="1036"/>
      <c r="W262" s="1036"/>
      <c r="X262" s="1036"/>
      <c r="Y262" s="1036"/>
      <c r="Z262" s="1036"/>
      <c r="AA262" s="1493"/>
      <c r="AB262" s="493"/>
      <c r="AC262" s="493"/>
      <c r="AD262" s="493"/>
      <c r="AE262" s="493"/>
    </row>
    <row r="263" spans="1:31" s="1720" customFormat="1" ht="11.25" customHeight="1">
      <c r="A263" s="880"/>
      <c r="B263" s="1497"/>
      <c r="C263" s="1497"/>
      <c r="D263" s="275"/>
      <c r="K263" s="1036"/>
      <c r="L263" s="1497"/>
      <c r="M263" s="1497"/>
      <c r="N263" s="1036"/>
      <c r="O263" s="1036"/>
      <c r="P263" s="1036"/>
      <c r="Q263" s="1036"/>
      <c r="R263" s="1497"/>
      <c r="S263" s="1036"/>
      <c r="T263" s="1036"/>
      <c r="U263" s="471"/>
      <c r="V263" s="1036"/>
      <c r="W263" s="1036"/>
      <c r="X263" s="1036"/>
      <c r="Y263" s="1036"/>
      <c r="Z263" s="1036"/>
      <c r="AA263" s="1493"/>
      <c r="AB263" s="493"/>
      <c r="AC263" s="493"/>
      <c r="AD263" s="493"/>
      <c r="AE263" s="493"/>
    </row>
    <row r="264" spans="1:31" s="1720" customFormat="1" ht="11.25" customHeight="1">
      <c r="A264" s="880"/>
      <c r="B264" s="1497"/>
      <c r="C264" s="1497"/>
      <c r="D264" s="275"/>
      <c r="K264" s="1036"/>
      <c r="L264" s="1497"/>
      <c r="M264" s="1497"/>
      <c r="N264" s="1036"/>
      <c r="O264" s="1036"/>
      <c r="P264" s="1036"/>
      <c r="Q264" s="1036"/>
      <c r="R264" s="1497"/>
      <c r="S264" s="1036"/>
      <c r="T264" s="1036"/>
      <c r="U264" s="471"/>
      <c r="V264" s="1036"/>
      <c r="W264" s="1036"/>
      <c r="X264" s="1036"/>
      <c r="Y264" s="1036"/>
      <c r="Z264" s="1036"/>
      <c r="AA264" s="1493"/>
      <c r="AB264" s="493"/>
      <c r="AC264" s="493"/>
      <c r="AD264" s="493"/>
      <c r="AE264" s="493"/>
    </row>
    <row r="265" spans="1:31" s="1720" customFormat="1" ht="11.25" customHeight="1">
      <c r="A265" s="880"/>
      <c r="B265" s="1497"/>
      <c r="C265" s="1497"/>
      <c r="D265" s="275"/>
      <c r="K265" s="1036"/>
      <c r="L265" s="1497"/>
      <c r="M265" s="1497"/>
      <c r="N265" s="1036"/>
      <c r="O265" s="1036"/>
      <c r="P265" s="1036"/>
      <c r="Q265" s="1036"/>
      <c r="R265" s="1497"/>
      <c r="S265" s="1036"/>
      <c r="T265" s="1036"/>
      <c r="U265" s="471"/>
      <c r="V265" s="1036"/>
      <c r="W265" s="1036"/>
      <c r="X265" s="1036"/>
      <c r="Y265" s="1036"/>
      <c r="Z265" s="1036"/>
      <c r="AA265" s="1493"/>
      <c r="AB265" s="493"/>
      <c r="AC265" s="493"/>
      <c r="AD265" s="493"/>
      <c r="AE265" s="493"/>
    </row>
    <row r="266" spans="1:31" s="1720" customFormat="1" ht="11.25" customHeight="1">
      <c r="A266" s="880"/>
      <c r="B266" s="1497"/>
      <c r="C266" s="1497"/>
      <c r="D266" s="275"/>
      <c r="K266" s="1036"/>
      <c r="L266" s="1497"/>
      <c r="M266" s="1497"/>
      <c r="N266" s="1036"/>
      <c r="O266" s="1036"/>
      <c r="P266" s="1036"/>
      <c r="Q266" s="1036"/>
      <c r="R266" s="1497"/>
      <c r="S266" s="1036"/>
      <c r="T266" s="1036"/>
      <c r="U266" s="471"/>
      <c r="V266" s="1036"/>
      <c r="W266" s="1036"/>
      <c r="X266" s="1036"/>
      <c r="Y266" s="1036"/>
      <c r="Z266" s="1036"/>
      <c r="AA266" s="1493"/>
      <c r="AB266" s="493"/>
      <c r="AC266" s="493"/>
      <c r="AD266" s="493"/>
      <c r="AE266" s="493"/>
    </row>
    <row r="267" spans="1:31" s="1720" customFormat="1" ht="11.25" customHeight="1">
      <c r="A267" s="880"/>
      <c r="B267" s="1497"/>
      <c r="C267" s="1497"/>
      <c r="D267" s="275"/>
      <c r="K267" s="1036"/>
      <c r="L267" s="1497"/>
      <c r="M267" s="1497"/>
      <c r="N267" s="1036"/>
      <c r="O267" s="1036"/>
      <c r="P267" s="1036"/>
      <c r="Q267" s="1036"/>
      <c r="R267" s="1497"/>
      <c r="S267" s="1036"/>
      <c r="T267" s="1036"/>
      <c r="U267" s="471"/>
      <c r="V267" s="1036"/>
      <c r="W267" s="1036"/>
      <c r="X267" s="1036"/>
      <c r="Y267" s="1036"/>
      <c r="Z267" s="1036"/>
      <c r="AA267" s="1493"/>
      <c r="AB267" s="493"/>
      <c r="AC267" s="493"/>
      <c r="AD267" s="493"/>
      <c r="AE267" s="493"/>
    </row>
    <row r="268" spans="1:31" s="1720" customFormat="1" ht="11.25" customHeight="1">
      <c r="A268" s="880"/>
      <c r="B268" s="1497"/>
      <c r="C268" s="1497"/>
      <c r="D268" s="275"/>
      <c r="K268" s="1036"/>
      <c r="L268" s="1497"/>
      <c r="M268" s="1497"/>
      <c r="N268" s="1036"/>
      <c r="O268" s="1036"/>
      <c r="P268" s="1036"/>
      <c r="Q268" s="1036"/>
      <c r="R268" s="1497"/>
      <c r="S268" s="1036"/>
      <c r="T268" s="1036"/>
      <c r="U268" s="471"/>
      <c r="V268" s="1036"/>
      <c r="W268" s="1036"/>
      <c r="X268" s="1036"/>
      <c r="Y268" s="1036"/>
      <c r="Z268" s="1036"/>
      <c r="AA268" s="1493"/>
      <c r="AB268" s="493"/>
      <c r="AC268" s="493"/>
      <c r="AD268" s="493"/>
      <c r="AE268" s="493"/>
    </row>
    <row r="269" spans="1:31" s="1720" customFormat="1" ht="11.25" customHeight="1">
      <c r="A269" s="880"/>
      <c r="B269" s="1497"/>
      <c r="C269" s="1497"/>
      <c r="D269" s="275"/>
      <c r="K269" s="1036"/>
      <c r="L269" s="1497"/>
      <c r="M269" s="1497"/>
      <c r="N269" s="1036"/>
      <c r="O269" s="1036"/>
      <c r="P269" s="1036"/>
      <c r="Q269" s="1036"/>
      <c r="R269" s="1497"/>
      <c r="S269" s="1036"/>
      <c r="T269" s="1036"/>
      <c r="U269" s="471"/>
      <c r="V269" s="1036"/>
      <c r="W269" s="1036"/>
      <c r="X269" s="1036"/>
      <c r="Y269" s="1036"/>
      <c r="Z269" s="1036"/>
      <c r="AA269" s="1493"/>
      <c r="AB269" s="493"/>
      <c r="AC269" s="493"/>
      <c r="AD269" s="493"/>
      <c r="AE269" s="493"/>
    </row>
    <row r="270" spans="1:31" s="1720" customFormat="1" ht="11.25" customHeight="1">
      <c r="A270" s="880"/>
      <c r="B270" s="1497"/>
      <c r="C270" s="1497"/>
      <c r="D270" s="275"/>
      <c r="K270" s="1036"/>
      <c r="L270" s="1497"/>
      <c r="M270" s="1497"/>
      <c r="N270" s="1036"/>
      <c r="O270" s="1036"/>
      <c r="P270" s="1036"/>
      <c r="Q270" s="1036"/>
      <c r="R270" s="1497"/>
      <c r="S270" s="1036"/>
      <c r="T270" s="1036"/>
      <c r="U270" s="471"/>
      <c r="V270" s="1036"/>
      <c r="W270" s="1036"/>
      <c r="X270" s="1036"/>
      <c r="Y270" s="1036"/>
      <c r="Z270" s="1036"/>
      <c r="AA270" s="1493"/>
      <c r="AB270" s="493"/>
      <c r="AC270" s="493"/>
      <c r="AD270" s="493"/>
      <c r="AE270" s="493"/>
    </row>
    <row r="271" spans="1:31" s="1720" customFormat="1" ht="11.25" customHeight="1">
      <c r="A271" s="880"/>
      <c r="B271" s="1497"/>
      <c r="C271" s="1497"/>
      <c r="D271" s="275"/>
      <c r="K271" s="1036"/>
      <c r="L271" s="1497"/>
      <c r="M271" s="1497"/>
      <c r="N271" s="1036"/>
      <c r="O271" s="1036"/>
      <c r="P271" s="1036"/>
      <c r="Q271" s="1036"/>
      <c r="R271" s="1497"/>
      <c r="S271" s="1036"/>
      <c r="T271" s="1036"/>
      <c r="U271" s="471"/>
      <c r="V271" s="1036"/>
      <c r="W271" s="1036"/>
      <c r="X271" s="1036"/>
      <c r="Y271" s="1036"/>
      <c r="Z271" s="1036"/>
      <c r="AA271" s="1493"/>
      <c r="AB271" s="493"/>
      <c r="AC271" s="493"/>
      <c r="AD271" s="493"/>
      <c r="AE271" s="493"/>
    </row>
    <row r="272" spans="1:31" s="1720" customFormat="1" ht="11.25" customHeight="1">
      <c r="A272" s="880"/>
      <c r="B272" s="1497"/>
      <c r="C272" s="1497"/>
      <c r="D272" s="275"/>
      <c r="K272" s="1036"/>
      <c r="L272" s="1497"/>
      <c r="M272" s="1497"/>
      <c r="N272" s="1036"/>
      <c r="O272" s="1036"/>
      <c r="P272" s="1036"/>
      <c r="Q272" s="1036"/>
      <c r="R272" s="1497"/>
      <c r="S272" s="1036"/>
      <c r="T272" s="1036"/>
      <c r="U272" s="471"/>
      <c r="V272" s="1036"/>
      <c r="W272" s="1036"/>
      <c r="X272" s="1036"/>
      <c r="Y272" s="1036"/>
      <c r="Z272" s="1036"/>
      <c r="AA272" s="1493"/>
      <c r="AB272" s="493"/>
      <c r="AC272" s="493"/>
      <c r="AD272" s="493"/>
      <c r="AE272" s="493"/>
    </row>
    <row r="273" spans="1:31" s="1720" customFormat="1" ht="11.25" customHeight="1">
      <c r="A273" s="880"/>
      <c r="B273" s="1497"/>
      <c r="C273" s="1497"/>
      <c r="D273" s="275"/>
      <c r="K273" s="1036"/>
      <c r="L273" s="1497"/>
      <c r="M273" s="1497"/>
      <c r="N273" s="1036"/>
      <c r="O273" s="1036"/>
      <c r="P273" s="1036"/>
      <c r="Q273" s="1036"/>
      <c r="R273" s="1497"/>
      <c r="S273" s="1036"/>
      <c r="T273" s="1036"/>
      <c r="U273" s="471"/>
      <c r="V273" s="1036"/>
      <c r="W273" s="1036"/>
      <c r="X273" s="1036"/>
      <c r="Y273" s="1036"/>
      <c r="Z273" s="1036"/>
      <c r="AA273" s="1493"/>
      <c r="AB273" s="493"/>
      <c r="AC273" s="493"/>
      <c r="AD273" s="493"/>
      <c r="AE273" s="493"/>
    </row>
    <row r="274" spans="1:31" s="1720" customFormat="1" ht="11.25" customHeight="1">
      <c r="A274" s="880"/>
      <c r="B274" s="1497"/>
      <c r="C274" s="1497"/>
      <c r="D274" s="275"/>
      <c r="K274" s="1036"/>
      <c r="L274" s="1497"/>
      <c r="M274" s="1497"/>
      <c r="N274" s="1036"/>
      <c r="O274" s="1036"/>
      <c r="P274" s="1036"/>
      <c r="Q274" s="1036"/>
      <c r="R274" s="1497"/>
      <c r="S274" s="1036"/>
      <c r="T274" s="1036"/>
      <c r="U274" s="471"/>
      <c r="V274" s="1036"/>
      <c r="W274" s="1036"/>
      <c r="X274" s="1036"/>
      <c r="Y274" s="1036"/>
      <c r="Z274" s="1036"/>
      <c r="AA274" s="1493"/>
      <c r="AB274" s="493"/>
      <c r="AC274" s="493"/>
      <c r="AD274" s="493"/>
      <c r="AE274" s="493"/>
    </row>
    <row r="275" spans="1:31" s="1720" customFormat="1" ht="11.25" customHeight="1">
      <c r="A275" s="880"/>
      <c r="B275" s="1497"/>
      <c r="C275" s="1497"/>
      <c r="D275" s="275"/>
      <c r="K275" s="1036"/>
      <c r="L275" s="1497"/>
      <c r="M275" s="1497"/>
      <c r="N275" s="1036"/>
      <c r="O275" s="1036"/>
      <c r="P275" s="1036"/>
      <c r="Q275" s="1036"/>
      <c r="R275" s="1497"/>
      <c r="S275" s="1036"/>
      <c r="T275" s="1036"/>
      <c r="U275" s="471"/>
      <c r="V275" s="1036"/>
      <c r="W275" s="1036"/>
      <c r="X275" s="1036"/>
      <c r="Y275" s="1036"/>
      <c r="Z275" s="1036"/>
      <c r="AA275" s="1493"/>
      <c r="AB275" s="493"/>
      <c r="AC275" s="493"/>
      <c r="AD275" s="493"/>
      <c r="AE275" s="493"/>
    </row>
    <row r="276" spans="1:31" s="1720" customFormat="1" ht="11.25" customHeight="1">
      <c r="A276" s="880"/>
      <c r="B276" s="1497"/>
      <c r="C276" s="1497"/>
      <c r="D276" s="275"/>
      <c r="K276" s="1036"/>
      <c r="L276" s="1497"/>
      <c r="M276" s="1497"/>
      <c r="N276" s="1036"/>
      <c r="O276" s="1036"/>
      <c r="P276" s="1036"/>
      <c r="Q276" s="1036"/>
      <c r="R276" s="1497"/>
      <c r="S276" s="1036"/>
      <c r="T276" s="1036"/>
      <c r="U276" s="471"/>
      <c r="V276" s="1036"/>
      <c r="W276" s="1036"/>
      <c r="X276" s="1036"/>
      <c r="Y276" s="1036"/>
      <c r="Z276" s="1036"/>
      <c r="AA276" s="1493"/>
      <c r="AB276" s="493"/>
      <c r="AC276" s="493"/>
      <c r="AD276" s="493"/>
      <c r="AE276" s="493"/>
    </row>
    <row r="277" spans="1:31" s="1720" customFormat="1" ht="11.25" customHeight="1">
      <c r="A277" s="880"/>
      <c r="B277" s="1497"/>
      <c r="C277" s="1497"/>
      <c r="D277" s="275"/>
      <c r="K277" s="1036"/>
      <c r="L277" s="1497"/>
      <c r="M277" s="1497"/>
      <c r="N277" s="1036"/>
      <c r="O277" s="1036"/>
      <c r="P277" s="1036"/>
      <c r="Q277" s="1036"/>
      <c r="R277" s="1497"/>
      <c r="S277" s="1036"/>
      <c r="T277" s="1036"/>
      <c r="U277" s="471"/>
      <c r="V277" s="1036"/>
      <c r="W277" s="1036"/>
      <c r="X277" s="1036"/>
      <c r="Y277" s="1036"/>
      <c r="Z277" s="1036"/>
      <c r="AA277" s="1493"/>
      <c r="AB277" s="493"/>
      <c r="AC277" s="493"/>
      <c r="AD277" s="493"/>
      <c r="AE277" s="493"/>
    </row>
    <row r="278" spans="1:31" s="1720" customFormat="1" ht="11.25" customHeight="1">
      <c r="A278" s="880"/>
      <c r="B278" s="1497"/>
      <c r="C278" s="1497"/>
      <c r="D278" s="275"/>
      <c r="K278" s="1036"/>
      <c r="L278" s="1497"/>
      <c r="M278" s="1497"/>
      <c r="N278" s="1036"/>
      <c r="O278" s="1036"/>
      <c r="P278" s="1036"/>
      <c r="Q278" s="1036"/>
      <c r="R278" s="1497"/>
      <c r="S278" s="1036"/>
      <c r="T278" s="1036"/>
      <c r="U278" s="471"/>
      <c r="V278" s="1036"/>
      <c r="W278" s="1036"/>
      <c r="X278" s="1036"/>
      <c r="Y278" s="1036"/>
      <c r="Z278" s="1036"/>
      <c r="AA278" s="1493"/>
      <c r="AB278" s="493"/>
      <c r="AC278" s="493"/>
      <c r="AD278" s="493"/>
      <c r="AE278" s="493"/>
    </row>
    <row r="279" spans="1:31" s="1720" customFormat="1" ht="11.25" customHeight="1">
      <c r="A279" s="880"/>
      <c r="B279" s="1497"/>
      <c r="C279" s="1497"/>
      <c r="D279" s="275"/>
      <c r="K279" s="1036"/>
      <c r="L279" s="1497"/>
      <c r="M279" s="1497"/>
      <c r="N279" s="1036"/>
      <c r="O279" s="1036"/>
      <c r="P279" s="1036"/>
      <c r="Q279" s="1036"/>
      <c r="R279" s="1497"/>
      <c r="S279" s="1036"/>
      <c r="T279" s="1036"/>
      <c r="U279" s="471"/>
      <c r="V279" s="1036"/>
      <c r="W279" s="1036"/>
      <c r="X279" s="1036"/>
      <c r="Y279" s="1036"/>
      <c r="Z279" s="1036"/>
      <c r="AA279" s="1493"/>
      <c r="AB279" s="493"/>
      <c r="AC279" s="493"/>
      <c r="AD279" s="493"/>
      <c r="AE279" s="493"/>
    </row>
    <row r="280" spans="1:31" s="1720" customFormat="1" ht="11.25" customHeight="1">
      <c r="A280" s="880"/>
      <c r="B280" s="1497"/>
      <c r="C280" s="1497"/>
      <c r="D280" s="275"/>
      <c r="K280" s="1036"/>
      <c r="L280" s="1497"/>
      <c r="M280" s="1497"/>
      <c r="N280" s="1036"/>
      <c r="O280" s="1036"/>
      <c r="P280" s="1036"/>
      <c r="Q280" s="1036"/>
      <c r="R280" s="1497"/>
      <c r="S280" s="1036"/>
      <c r="T280" s="1036"/>
      <c r="U280" s="471"/>
      <c r="V280" s="1036"/>
      <c r="W280" s="1036"/>
      <c r="X280" s="1036"/>
      <c r="Y280" s="1036"/>
      <c r="Z280" s="1036"/>
      <c r="AA280" s="1493"/>
      <c r="AB280" s="493"/>
      <c r="AC280" s="493"/>
      <c r="AD280" s="493"/>
      <c r="AE280" s="493"/>
    </row>
    <row r="281" spans="1:31" s="1720" customFormat="1" ht="11.25" customHeight="1">
      <c r="A281" s="880"/>
      <c r="B281" s="1497"/>
      <c r="C281" s="1497"/>
      <c r="D281" s="275"/>
      <c r="K281" s="1036"/>
      <c r="L281" s="1497"/>
      <c r="M281" s="1497"/>
      <c r="N281" s="1036"/>
      <c r="O281" s="1036"/>
      <c r="P281" s="1036"/>
      <c r="Q281" s="1036"/>
      <c r="R281" s="1497"/>
      <c r="S281" s="1036"/>
      <c r="T281" s="1036"/>
      <c r="U281" s="471"/>
      <c r="V281" s="1036"/>
      <c r="W281" s="1036"/>
      <c r="X281" s="1036"/>
      <c r="Y281" s="1036"/>
      <c r="Z281" s="1036"/>
      <c r="AA281" s="1493"/>
      <c r="AB281" s="493"/>
      <c r="AC281" s="493"/>
      <c r="AD281" s="493"/>
      <c r="AE281" s="493"/>
    </row>
    <row r="282" spans="1:31" s="1720" customFormat="1" ht="11.25" customHeight="1">
      <c r="A282" s="880"/>
      <c r="B282" s="1497"/>
      <c r="C282" s="1497"/>
      <c r="D282" s="275"/>
      <c r="K282" s="1036"/>
      <c r="L282" s="1497"/>
      <c r="M282" s="1497"/>
      <c r="N282" s="1036"/>
      <c r="O282" s="1036"/>
      <c r="P282" s="1036"/>
      <c r="Q282" s="1036"/>
      <c r="R282" s="1497"/>
      <c r="S282" s="1036"/>
      <c r="T282" s="1036"/>
      <c r="U282" s="471"/>
      <c r="V282" s="1036"/>
      <c r="W282" s="1036"/>
      <c r="X282" s="1036"/>
      <c r="Y282" s="1036"/>
      <c r="Z282" s="1036"/>
      <c r="AA282" s="1493"/>
      <c r="AB282" s="493"/>
      <c r="AC282" s="493"/>
      <c r="AD282" s="493"/>
      <c r="AE282" s="493"/>
    </row>
    <row r="283" spans="1:31" s="1720" customFormat="1" ht="11.25" customHeight="1">
      <c r="A283" s="880"/>
      <c r="B283" s="1497"/>
      <c r="C283" s="1497"/>
      <c r="D283" s="275"/>
      <c r="K283" s="1036"/>
      <c r="L283" s="1497"/>
      <c r="M283" s="1497"/>
      <c r="N283" s="1036"/>
      <c r="O283" s="1036"/>
      <c r="P283" s="1036"/>
      <c r="Q283" s="1036"/>
      <c r="R283" s="1497"/>
      <c r="S283" s="1036"/>
      <c r="T283" s="1036"/>
      <c r="U283" s="471"/>
      <c r="V283" s="1036"/>
      <c r="W283" s="1036"/>
      <c r="X283" s="1036"/>
      <c r="Y283" s="1036"/>
      <c r="Z283" s="1036"/>
      <c r="AA283" s="1493"/>
      <c r="AB283" s="493"/>
      <c r="AC283" s="493"/>
      <c r="AD283" s="493"/>
      <c r="AE283" s="493"/>
    </row>
    <row r="284" spans="1:31" s="1720" customFormat="1" ht="11.25" customHeight="1">
      <c r="A284" s="880"/>
      <c r="B284" s="1497"/>
      <c r="C284" s="1497"/>
      <c r="D284" s="275"/>
      <c r="K284" s="1036"/>
      <c r="L284" s="1497"/>
      <c r="M284" s="1497"/>
      <c r="N284" s="1036"/>
      <c r="O284" s="1036"/>
      <c r="P284" s="1036"/>
      <c r="Q284" s="1036"/>
      <c r="R284" s="1497"/>
      <c r="S284" s="1036"/>
      <c r="T284" s="1036"/>
      <c r="U284" s="471"/>
      <c r="V284" s="1036"/>
      <c r="W284" s="1036"/>
      <c r="X284" s="1036"/>
      <c r="Y284" s="1036"/>
      <c r="Z284" s="1036"/>
      <c r="AA284" s="1493"/>
      <c r="AB284" s="493"/>
      <c r="AC284" s="493"/>
      <c r="AD284" s="493"/>
      <c r="AE284" s="493"/>
    </row>
    <row r="285" spans="1:31" s="1720" customFormat="1" ht="11.25" customHeight="1">
      <c r="A285" s="880"/>
      <c r="B285" s="1497"/>
      <c r="C285" s="1497"/>
      <c r="D285" s="275"/>
      <c r="K285" s="1036"/>
      <c r="L285" s="1497"/>
      <c r="M285" s="1497"/>
      <c r="N285" s="1036"/>
      <c r="O285" s="1036"/>
      <c r="P285" s="1036"/>
      <c r="Q285" s="1036"/>
      <c r="R285" s="1497"/>
      <c r="S285" s="1036"/>
      <c r="T285" s="1036"/>
      <c r="U285" s="471"/>
      <c r="V285" s="1036"/>
      <c r="W285" s="1036"/>
      <c r="X285" s="1036"/>
      <c r="Y285" s="1036"/>
      <c r="Z285" s="1036"/>
      <c r="AA285" s="1493"/>
      <c r="AB285" s="493"/>
      <c r="AC285" s="493"/>
      <c r="AD285" s="493"/>
      <c r="AE285" s="493"/>
    </row>
    <row r="286" spans="1:31" s="1720" customFormat="1" ht="11.25" customHeight="1">
      <c r="A286" s="880"/>
      <c r="B286" s="1497"/>
      <c r="C286" s="1497"/>
      <c r="D286" s="275"/>
      <c r="K286" s="1036"/>
      <c r="L286" s="1497"/>
      <c r="M286" s="1497"/>
      <c r="N286" s="1036"/>
      <c r="O286" s="1036"/>
      <c r="P286" s="1036"/>
      <c r="Q286" s="1036"/>
      <c r="R286" s="1497"/>
      <c r="S286" s="1036"/>
      <c r="T286" s="1036"/>
      <c r="U286" s="471"/>
      <c r="V286" s="1036"/>
      <c r="W286" s="1036"/>
      <c r="X286" s="1036"/>
      <c r="Y286" s="1036"/>
      <c r="Z286" s="1036"/>
      <c r="AA286" s="1493"/>
      <c r="AB286" s="493"/>
      <c r="AC286" s="493"/>
      <c r="AD286" s="493"/>
      <c r="AE286" s="493"/>
    </row>
    <row r="287" spans="1:31" s="1720" customFormat="1" ht="11.25" customHeight="1">
      <c r="A287" s="880"/>
      <c r="B287" s="1497"/>
      <c r="C287" s="1497"/>
      <c r="D287" s="275"/>
      <c r="K287" s="1036"/>
      <c r="L287" s="1497"/>
      <c r="M287" s="1497"/>
      <c r="N287" s="1036"/>
      <c r="O287" s="1036"/>
      <c r="P287" s="1036"/>
      <c r="Q287" s="1036"/>
      <c r="R287" s="1497"/>
      <c r="S287" s="1036"/>
      <c r="T287" s="1036"/>
      <c r="U287" s="471"/>
      <c r="V287" s="1036"/>
      <c r="W287" s="1036"/>
      <c r="X287" s="1036"/>
      <c r="Y287" s="1036"/>
      <c r="Z287" s="1036"/>
      <c r="AA287" s="1493"/>
      <c r="AB287" s="493"/>
      <c r="AC287" s="493"/>
      <c r="AD287" s="493"/>
      <c r="AE287" s="493"/>
    </row>
    <row r="288" spans="1:31" s="1720" customFormat="1" ht="11.25" customHeight="1">
      <c r="A288" s="880"/>
      <c r="B288" s="1497"/>
      <c r="C288" s="1497"/>
      <c r="D288" s="275"/>
      <c r="K288" s="1036"/>
      <c r="L288" s="1497"/>
      <c r="M288" s="1497"/>
      <c r="N288" s="1036"/>
      <c r="O288" s="1036"/>
      <c r="P288" s="1036"/>
      <c r="Q288" s="1036"/>
      <c r="R288" s="1497"/>
      <c r="S288" s="1036"/>
      <c r="T288" s="1036"/>
      <c r="U288" s="471"/>
      <c r="V288" s="1036"/>
      <c r="W288" s="1036"/>
      <c r="X288" s="1036"/>
      <c r="Y288" s="1036"/>
      <c r="Z288" s="1036"/>
      <c r="AA288" s="1493"/>
      <c r="AB288" s="493"/>
      <c r="AC288" s="493"/>
      <c r="AD288" s="493"/>
      <c r="AE288" s="493"/>
    </row>
    <row r="289" spans="1:31" s="1720" customFormat="1" ht="11.25" customHeight="1">
      <c r="A289" s="880"/>
      <c r="B289" s="1497"/>
      <c r="C289" s="1497"/>
      <c r="D289" s="275"/>
      <c r="K289" s="1036"/>
      <c r="L289" s="1497"/>
      <c r="M289" s="1497"/>
      <c r="N289" s="1036"/>
      <c r="O289" s="1036"/>
      <c r="P289" s="1036"/>
      <c r="Q289" s="1036"/>
      <c r="R289" s="1497"/>
      <c r="S289" s="1036"/>
      <c r="T289" s="1036"/>
      <c r="U289" s="471"/>
      <c r="V289" s="1036"/>
      <c r="W289" s="1036"/>
      <c r="X289" s="1036"/>
      <c r="Y289" s="1036"/>
      <c r="Z289" s="1036"/>
      <c r="AA289" s="1493"/>
      <c r="AB289" s="493"/>
      <c r="AC289" s="493"/>
      <c r="AD289" s="493"/>
      <c r="AE289" s="493"/>
    </row>
    <row r="290" spans="1:31" s="1720" customFormat="1" ht="11.25" customHeight="1">
      <c r="A290" s="880"/>
      <c r="B290" s="1497"/>
      <c r="C290" s="1497"/>
      <c r="D290" s="275"/>
      <c r="K290" s="1036"/>
      <c r="L290" s="1497"/>
      <c r="M290" s="1497"/>
      <c r="N290" s="1036"/>
      <c r="O290" s="1036"/>
      <c r="P290" s="1036"/>
      <c r="Q290" s="1036"/>
      <c r="R290" s="1497"/>
      <c r="S290" s="1036"/>
      <c r="T290" s="1036"/>
      <c r="U290" s="471"/>
      <c r="V290" s="1036"/>
      <c r="W290" s="1036"/>
      <c r="X290" s="1036"/>
      <c r="Y290" s="1036"/>
      <c r="Z290" s="1036"/>
      <c r="AA290" s="1493"/>
      <c r="AB290" s="493"/>
      <c r="AC290" s="493"/>
      <c r="AD290" s="493"/>
      <c r="AE290" s="493"/>
    </row>
    <row r="291" spans="1:31" s="1720" customFormat="1" ht="11.25" customHeight="1">
      <c r="A291" s="880"/>
      <c r="B291" s="1497"/>
      <c r="C291" s="1497"/>
      <c r="D291" s="275"/>
      <c r="K291" s="1036"/>
      <c r="L291" s="1497"/>
      <c r="M291" s="1497"/>
      <c r="N291" s="1036"/>
      <c r="O291" s="1036"/>
      <c r="P291" s="1036"/>
      <c r="Q291" s="1036"/>
      <c r="R291" s="1497"/>
      <c r="S291" s="1036"/>
      <c r="T291" s="1036"/>
      <c r="U291" s="471"/>
      <c r="V291" s="1036"/>
      <c r="W291" s="1036"/>
      <c r="X291" s="1036"/>
      <c r="Y291" s="1036"/>
      <c r="Z291" s="1036"/>
      <c r="AA291" s="1493"/>
      <c r="AB291" s="493"/>
      <c r="AC291" s="493"/>
      <c r="AD291" s="493"/>
      <c r="AE291" s="493"/>
    </row>
    <row r="292" spans="1:31" s="1720" customFormat="1" ht="11.25" customHeight="1">
      <c r="A292" s="880"/>
      <c r="B292" s="1497"/>
      <c r="C292" s="1497"/>
      <c r="D292" s="275"/>
      <c r="K292" s="1036"/>
      <c r="L292" s="1497"/>
      <c r="M292" s="1497"/>
      <c r="N292" s="1036"/>
      <c r="O292" s="1036"/>
      <c r="P292" s="1036"/>
      <c r="Q292" s="1036"/>
      <c r="R292" s="1497"/>
      <c r="S292" s="1036"/>
      <c r="T292" s="1036"/>
      <c r="U292" s="471"/>
      <c r="V292" s="1036"/>
      <c r="W292" s="1036"/>
      <c r="X292" s="1036"/>
      <c r="Y292" s="1036"/>
      <c r="Z292" s="1036"/>
      <c r="AA292" s="1493"/>
      <c r="AB292" s="493"/>
      <c r="AC292" s="493"/>
      <c r="AD292" s="493"/>
      <c r="AE292" s="493"/>
    </row>
    <row r="293" spans="1:31" s="1720" customFormat="1" ht="11.25" customHeight="1">
      <c r="A293" s="880"/>
      <c r="B293" s="1497"/>
      <c r="C293" s="1497"/>
      <c r="D293" s="275"/>
      <c r="K293" s="1036"/>
      <c r="L293" s="1497"/>
      <c r="M293" s="1497"/>
      <c r="N293" s="1036"/>
      <c r="O293" s="1036"/>
      <c r="P293" s="1036"/>
      <c r="Q293" s="1036"/>
      <c r="R293" s="1497"/>
      <c r="S293" s="1036"/>
      <c r="T293" s="1036"/>
      <c r="U293" s="471"/>
      <c r="V293" s="1036"/>
      <c r="W293" s="1036"/>
      <c r="X293" s="1036"/>
      <c r="Y293" s="1036"/>
      <c r="Z293" s="1036"/>
      <c r="AA293" s="1493"/>
      <c r="AB293" s="493"/>
      <c r="AC293" s="493"/>
      <c r="AD293" s="493"/>
      <c r="AE293" s="493"/>
    </row>
    <row r="294" spans="1:31" s="1720" customFormat="1" ht="11.25" customHeight="1">
      <c r="A294" s="880"/>
      <c r="B294" s="1497"/>
      <c r="C294" s="1497"/>
      <c r="D294" s="275"/>
      <c r="K294" s="1036"/>
      <c r="L294" s="1497"/>
      <c r="M294" s="1497"/>
      <c r="N294" s="1036"/>
      <c r="O294" s="1036"/>
      <c r="P294" s="1036"/>
      <c r="Q294" s="1036"/>
      <c r="R294" s="1497"/>
      <c r="S294" s="1036"/>
      <c r="T294" s="1036"/>
      <c r="U294" s="471"/>
      <c r="V294" s="1036"/>
      <c r="W294" s="1036"/>
      <c r="X294" s="1036"/>
      <c r="Y294" s="1036"/>
      <c r="Z294" s="1036"/>
      <c r="AA294" s="1493"/>
      <c r="AB294" s="493"/>
      <c r="AC294" s="493"/>
      <c r="AD294" s="493"/>
      <c r="AE294" s="493"/>
    </row>
    <row r="295" spans="1:31" s="1720" customFormat="1" ht="11.25" customHeight="1">
      <c r="A295" s="880"/>
      <c r="B295" s="1497"/>
      <c r="C295" s="1497"/>
      <c r="D295" s="275"/>
      <c r="K295" s="1036"/>
      <c r="L295" s="1497"/>
      <c r="M295" s="1497"/>
      <c r="N295" s="1036"/>
      <c r="O295" s="1036"/>
      <c r="P295" s="1036"/>
      <c r="Q295" s="1036"/>
      <c r="R295" s="1497"/>
      <c r="S295" s="1036"/>
      <c r="T295" s="1036"/>
      <c r="U295" s="471"/>
      <c r="V295" s="1036"/>
      <c r="W295" s="1036"/>
      <c r="X295" s="1036"/>
      <c r="Y295" s="1036"/>
      <c r="Z295" s="1036"/>
      <c r="AA295" s="1493"/>
      <c r="AB295" s="493"/>
      <c r="AC295" s="493"/>
      <c r="AD295" s="493"/>
      <c r="AE295" s="493"/>
    </row>
    <row r="296" spans="1:31" s="1720" customFormat="1" ht="11.25" customHeight="1">
      <c r="A296" s="880"/>
      <c r="B296" s="1497"/>
      <c r="C296" s="1497"/>
      <c r="D296" s="275"/>
      <c r="K296" s="1036"/>
      <c r="L296" s="1497"/>
      <c r="M296" s="1497"/>
      <c r="N296" s="1036"/>
      <c r="O296" s="1036"/>
      <c r="P296" s="1036"/>
      <c r="Q296" s="1036"/>
      <c r="R296" s="1497"/>
      <c r="S296" s="1036"/>
      <c r="T296" s="1036"/>
      <c r="U296" s="471"/>
      <c r="V296" s="1036"/>
      <c r="W296" s="1036"/>
      <c r="X296" s="1036"/>
      <c r="Y296" s="1036"/>
      <c r="Z296" s="1036"/>
      <c r="AA296" s="1493"/>
      <c r="AB296" s="493"/>
      <c r="AC296" s="493"/>
      <c r="AD296" s="493"/>
      <c r="AE296" s="493"/>
    </row>
    <row r="297" spans="1:31" s="1720" customFormat="1" ht="11.25" customHeight="1">
      <c r="A297" s="880"/>
      <c r="B297" s="1497"/>
      <c r="C297" s="1497"/>
      <c r="D297" s="275"/>
      <c r="K297" s="1036"/>
      <c r="L297" s="1497"/>
      <c r="M297" s="1497"/>
      <c r="N297" s="1036"/>
      <c r="O297" s="1036"/>
      <c r="P297" s="1036"/>
      <c r="Q297" s="1036"/>
      <c r="R297" s="1497"/>
      <c r="S297" s="1036"/>
      <c r="T297" s="1036"/>
      <c r="U297" s="471"/>
      <c r="V297" s="1036"/>
      <c r="W297" s="1036"/>
      <c r="X297" s="1036"/>
      <c r="Y297" s="1036"/>
      <c r="Z297" s="1036"/>
      <c r="AA297" s="1493"/>
      <c r="AB297" s="493"/>
      <c r="AC297" s="493"/>
      <c r="AD297" s="493"/>
      <c r="AE297" s="493"/>
    </row>
    <row r="298" spans="1:31" s="1720" customFormat="1" ht="11.25" customHeight="1">
      <c r="A298" s="880"/>
      <c r="B298" s="1497"/>
      <c r="C298" s="1497"/>
      <c r="D298" s="275"/>
      <c r="K298" s="1036"/>
      <c r="L298" s="1497"/>
      <c r="M298" s="1497"/>
      <c r="N298" s="1036"/>
      <c r="O298" s="1036"/>
      <c r="P298" s="1036"/>
      <c r="Q298" s="1036"/>
      <c r="R298" s="1497"/>
      <c r="S298" s="1036"/>
      <c r="T298" s="1036"/>
      <c r="U298" s="471"/>
      <c r="V298" s="1036"/>
      <c r="W298" s="1036"/>
      <c r="X298" s="1036"/>
      <c r="Y298" s="1036"/>
      <c r="Z298" s="1036"/>
      <c r="AA298" s="1493"/>
      <c r="AB298" s="493"/>
      <c r="AC298" s="493"/>
      <c r="AD298" s="493"/>
      <c r="AE298" s="493"/>
    </row>
    <row r="299" spans="1:31" s="1720" customFormat="1" ht="11.25" customHeight="1">
      <c r="A299" s="880"/>
      <c r="B299" s="1497"/>
      <c r="C299" s="1497"/>
      <c r="D299" s="275"/>
      <c r="K299" s="1036"/>
      <c r="L299" s="1497"/>
      <c r="M299" s="1497"/>
      <c r="N299" s="1036"/>
      <c r="O299" s="1036"/>
      <c r="P299" s="1036"/>
      <c r="Q299" s="1036"/>
      <c r="R299" s="1497"/>
      <c r="S299" s="1036"/>
      <c r="T299" s="1036"/>
      <c r="U299" s="471"/>
      <c r="V299" s="1036"/>
      <c r="W299" s="1036"/>
      <c r="X299" s="1036"/>
      <c r="Y299" s="1036"/>
      <c r="Z299" s="1036"/>
      <c r="AA299" s="1493"/>
      <c r="AB299" s="493"/>
      <c r="AC299" s="493"/>
      <c r="AD299" s="493"/>
      <c r="AE299" s="493"/>
    </row>
    <row r="300" spans="1:31" s="1720" customFormat="1" ht="11.25" customHeight="1">
      <c r="A300" s="880"/>
      <c r="B300" s="1497"/>
      <c r="C300" s="1497"/>
      <c r="D300" s="275"/>
      <c r="K300" s="1036"/>
      <c r="L300" s="1497"/>
      <c r="M300" s="1497"/>
      <c r="N300" s="1036"/>
      <c r="O300" s="1036"/>
      <c r="P300" s="1036"/>
      <c r="Q300" s="1036"/>
      <c r="R300" s="1497"/>
      <c r="S300" s="1036"/>
      <c r="T300" s="1036"/>
      <c r="U300" s="471"/>
      <c r="V300" s="1036"/>
      <c r="W300" s="1036"/>
      <c r="X300" s="1036"/>
      <c r="Y300" s="1036"/>
      <c r="Z300" s="1036"/>
      <c r="AA300" s="1493"/>
      <c r="AB300" s="493"/>
      <c r="AC300" s="493"/>
      <c r="AD300" s="493"/>
      <c r="AE300" s="493"/>
    </row>
    <row r="301" spans="1:31" s="1720" customFormat="1" ht="11.25" customHeight="1">
      <c r="A301" s="880"/>
      <c r="B301" s="1497"/>
      <c r="C301" s="1497"/>
      <c r="D301" s="275"/>
      <c r="K301" s="1036"/>
      <c r="L301" s="1497"/>
      <c r="M301" s="1497"/>
      <c r="N301" s="1036"/>
      <c r="O301" s="1036"/>
      <c r="P301" s="1036"/>
      <c r="Q301" s="1036"/>
      <c r="R301" s="1497"/>
      <c r="S301" s="1036"/>
      <c r="T301" s="1036"/>
      <c r="U301" s="471"/>
      <c r="V301" s="1036"/>
      <c r="W301" s="1036"/>
      <c r="X301" s="1036"/>
      <c r="Y301" s="1036"/>
      <c r="Z301" s="1036"/>
      <c r="AA301" s="1493"/>
      <c r="AB301" s="493"/>
      <c r="AC301" s="493"/>
      <c r="AD301" s="493"/>
      <c r="AE301" s="493"/>
    </row>
    <row r="302" spans="1:31" s="1720" customFormat="1" ht="11.25" customHeight="1">
      <c r="A302" s="880"/>
      <c r="B302" s="1497"/>
      <c r="C302" s="1497"/>
      <c r="D302" s="275"/>
      <c r="K302" s="1036"/>
      <c r="L302" s="1497"/>
      <c r="M302" s="1497"/>
      <c r="N302" s="1036"/>
      <c r="O302" s="1036"/>
      <c r="P302" s="1036"/>
      <c r="Q302" s="1036"/>
      <c r="R302" s="1497"/>
      <c r="S302" s="1036"/>
      <c r="T302" s="1036"/>
      <c r="U302" s="471"/>
      <c r="V302" s="1036"/>
      <c r="W302" s="1036"/>
      <c r="X302" s="1036"/>
      <c r="Y302" s="1036"/>
      <c r="Z302" s="1036"/>
      <c r="AA302" s="1493"/>
      <c r="AB302" s="493"/>
      <c r="AC302" s="493"/>
      <c r="AD302" s="493"/>
      <c r="AE302" s="493"/>
    </row>
    <row r="303" spans="1:31" s="1720" customFormat="1" ht="11.25" customHeight="1">
      <c r="A303" s="880"/>
      <c r="B303" s="1497"/>
      <c r="C303" s="1497"/>
      <c r="D303" s="275"/>
      <c r="K303" s="1036"/>
      <c r="L303" s="1497"/>
      <c r="M303" s="1497"/>
      <c r="N303" s="1036"/>
      <c r="O303" s="1036"/>
      <c r="P303" s="1036"/>
      <c r="Q303" s="1036"/>
      <c r="R303" s="1497"/>
      <c r="S303" s="1036"/>
      <c r="T303" s="1036"/>
      <c r="U303" s="471"/>
      <c r="V303" s="1036"/>
      <c r="W303" s="1036"/>
      <c r="X303" s="1036"/>
      <c r="Y303" s="1036"/>
      <c r="Z303" s="1036"/>
      <c r="AA303" s="1493"/>
      <c r="AB303" s="493"/>
      <c r="AC303" s="493"/>
      <c r="AD303" s="493"/>
      <c r="AE303" s="493"/>
    </row>
    <row r="304" spans="1:31" s="1720" customFormat="1" ht="11.25" customHeight="1">
      <c r="A304" s="880"/>
      <c r="B304" s="1497"/>
      <c r="C304" s="1497"/>
      <c r="D304" s="275"/>
      <c r="K304" s="1036"/>
      <c r="L304" s="1497"/>
      <c r="M304" s="1497"/>
      <c r="N304" s="1036"/>
      <c r="O304" s="1036"/>
      <c r="P304" s="1036"/>
      <c r="Q304" s="1036"/>
      <c r="R304" s="1497"/>
      <c r="S304" s="1036"/>
      <c r="T304" s="1036"/>
      <c r="U304" s="471"/>
      <c r="V304" s="1036"/>
      <c r="W304" s="1036"/>
      <c r="X304" s="1036"/>
      <c r="Y304" s="1036"/>
      <c r="Z304" s="1036"/>
      <c r="AA304" s="1493"/>
      <c r="AB304" s="493"/>
      <c r="AC304" s="493"/>
      <c r="AD304" s="493"/>
      <c r="AE304" s="493"/>
    </row>
    <row r="305" spans="1:31" s="1720" customFormat="1" ht="11.25" customHeight="1">
      <c r="A305" s="880"/>
      <c r="B305" s="1497"/>
      <c r="C305" s="1497"/>
      <c r="D305" s="275"/>
      <c r="K305" s="1036"/>
      <c r="L305" s="1497"/>
      <c r="M305" s="1497"/>
      <c r="N305" s="1036"/>
      <c r="O305" s="1036"/>
      <c r="P305" s="1036"/>
      <c r="Q305" s="1036"/>
      <c r="R305" s="1497"/>
      <c r="S305" s="1036"/>
      <c r="T305" s="1036"/>
      <c r="U305" s="471"/>
      <c r="V305" s="1036"/>
      <c r="W305" s="1036"/>
      <c r="X305" s="1036"/>
      <c r="Y305" s="1036"/>
      <c r="Z305" s="1036"/>
      <c r="AA305" s="1493"/>
      <c r="AB305" s="493"/>
      <c r="AC305" s="493"/>
      <c r="AD305" s="493"/>
      <c r="AE305" s="493"/>
    </row>
    <row r="306" spans="1:31" s="1720" customFormat="1" ht="11.25" customHeight="1">
      <c r="A306" s="880"/>
      <c r="B306" s="1497"/>
      <c r="C306" s="1497"/>
      <c r="D306" s="275"/>
      <c r="K306" s="1036"/>
      <c r="L306" s="1497"/>
      <c r="M306" s="1497"/>
      <c r="N306" s="1036"/>
      <c r="O306" s="1036"/>
      <c r="P306" s="1036"/>
      <c r="Q306" s="1036"/>
      <c r="R306" s="1497"/>
      <c r="S306" s="1036"/>
      <c r="T306" s="1036"/>
      <c r="U306" s="471"/>
      <c r="V306" s="1036"/>
      <c r="W306" s="1036"/>
      <c r="X306" s="1036"/>
      <c r="Y306" s="1036"/>
      <c r="Z306" s="1036"/>
      <c r="AA306" s="1493"/>
      <c r="AB306" s="493"/>
      <c r="AC306" s="493"/>
      <c r="AD306" s="493"/>
      <c r="AE306" s="493"/>
    </row>
    <row r="307" spans="1:31" s="1720" customFormat="1" ht="11.25" customHeight="1">
      <c r="A307" s="880"/>
      <c r="B307" s="1497"/>
      <c r="C307" s="1497"/>
      <c r="D307" s="275"/>
      <c r="K307" s="1036"/>
      <c r="L307" s="1497"/>
      <c r="M307" s="1497"/>
      <c r="N307" s="1036"/>
      <c r="O307" s="1036"/>
      <c r="P307" s="1036"/>
      <c r="Q307" s="1036"/>
      <c r="R307" s="1497"/>
      <c r="S307" s="1036"/>
      <c r="T307" s="1036"/>
      <c r="U307" s="471"/>
      <c r="V307" s="1036"/>
      <c r="W307" s="1036"/>
      <c r="X307" s="1036"/>
      <c r="Y307" s="1036"/>
      <c r="Z307" s="1036"/>
      <c r="AA307" s="1493"/>
      <c r="AB307" s="493"/>
      <c r="AC307" s="493"/>
      <c r="AD307" s="493"/>
      <c r="AE307" s="493"/>
    </row>
    <row r="308" spans="1:31" s="1720" customFormat="1" ht="11.25" customHeight="1">
      <c r="A308" s="880"/>
      <c r="B308" s="1497"/>
      <c r="C308" s="1497"/>
      <c r="D308" s="275"/>
      <c r="K308" s="1036"/>
      <c r="L308" s="1497"/>
      <c r="M308" s="1497"/>
      <c r="N308" s="1036"/>
      <c r="O308" s="1036"/>
      <c r="P308" s="1036"/>
      <c r="Q308" s="1036"/>
      <c r="R308" s="1497"/>
      <c r="S308" s="1036"/>
      <c r="T308" s="1036"/>
      <c r="U308" s="471"/>
      <c r="V308" s="1036"/>
      <c r="W308" s="1036"/>
      <c r="X308" s="1036"/>
      <c r="Y308" s="1036"/>
      <c r="Z308" s="1036"/>
      <c r="AA308" s="1493"/>
      <c r="AB308" s="493"/>
      <c r="AC308" s="493"/>
      <c r="AD308" s="493"/>
      <c r="AE308" s="493"/>
    </row>
    <row r="312" spans="1:31" ht="11.25" customHeight="1">
      <c r="A312" s="883"/>
      <c r="B312" s="1492"/>
      <c r="D312" s="1492"/>
      <c r="K312" s="1492"/>
      <c r="N312" s="1492"/>
      <c r="O312" s="1492"/>
      <c r="P312" s="1492"/>
      <c r="Q312" s="1492"/>
      <c r="S312" s="1492"/>
      <c r="T312" s="1492"/>
      <c r="U312" s="1492"/>
      <c r="V312" s="1492"/>
      <c r="W312" s="1492"/>
      <c r="X312" s="1492"/>
      <c r="Y312" s="1492"/>
      <c r="Z312" s="1492"/>
      <c r="AA312" s="1492"/>
      <c r="AB312" s="1492"/>
      <c r="AC312" s="1492"/>
      <c r="AD312" s="1492"/>
      <c r="AE312" s="1492"/>
    </row>
    <row r="313" spans="1:31" ht="11.25" customHeight="1">
      <c r="A313" s="883"/>
      <c r="B313" s="1492"/>
      <c r="D313" s="1492"/>
      <c r="K313" s="1492"/>
      <c r="N313" s="1492"/>
      <c r="O313" s="1492"/>
      <c r="P313" s="1492"/>
      <c r="Q313" s="1492"/>
      <c r="S313" s="1492"/>
      <c r="T313" s="1492"/>
      <c r="U313" s="1492"/>
      <c r="V313" s="1492"/>
      <c r="W313" s="1492"/>
      <c r="X313" s="1492"/>
      <c r="Y313" s="1492"/>
      <c r="Z313" s="1492"/>
      <c r="AA313" s="1492"/>
      <c r="AB313" s="1492"/>
      <c r="AC313" s="1492"/>
      <c r="AD313" s="1492"/>
      <c r="AE313" s="1492"/>
    </row>
    <row r="314" spans="1:31" ht="11.25" customHeight="1">
      <c r="A314" s="883"/>
      <c r="B314" s="1492"/>
      <c r="D314" s="1492"/>
      <c r="K314" s="1492"/>
      <c r="N314" s="1492"/>
      <c r="O314" s="1492"/>
      <c r="P314" s="1492"/>
      <c r="Q314" s="1492"/>
      <c r="S314" s="1492"/>
      <c r="T314" s="1492"/>
      <c r="U314" s="1492"/>
      <c r="V314" s="1492"/>
      <c r="W314" s="1492"/>
      <c r="X314" s="1492"/>
      <c r="Y314" s="1492"/>
      <c r="Z314" s="1492"/>
      <c r="AA314" s="1492"/>
      <c r="AB314" s="1492"/>
      <c r="AC314" s="1492"/>
      <c r="AD314" s="1492"/>
      <c r="AE314" s="1492"/>
    </row>
    <row r="315" spans="1:31" ht="11.25" customHeight="1">
      <c r="A315" s="883"/>
      <c r="B315" s="1492"/>
      <c r="D315" s="1492"/>
      <c r="K315" s="1492"/>
      <c r="N315" s="1492"/>
      <c r="O315" s="1492"/>
      <c r="P315" s="1492"/>
      <c r="Q315" s="1492"/>
      <c r="S315" s="1492"/>
      <c r="T315" s="1492"/>
      <c r="U315" s="1492"/>
      <c r="V315" s="1492"/>
      <c r="W315" s="1492"/>
      <c r="X315" s="1492"/>
      <c r="Y315" s="1492"/>
      <c r="Z315" s="1492"/>
      <c r="AA315" s="1492"/>
      <c r="AB315" s="1492"/>
      <c r="AC315" s="1492"/>
      <c r="AD315" s="1492"/>
      <c r="AE315" s="1492"/>
    </row>
    <row r="316" spans="1:31" ht="11.25" customHeight="1">
      <c r="A316" s="883"/>
      <c r="B316" s="1492"/>
      <c r="D316" s="1492"/>
      <c r="K316" s="1492"/>
      <c r="N316" s="1492"/>
      <c r="O316" s="1492"/>
      <c r="P316" s="1492"/>
      <c r="Q316" s="1492"/>
      <c r="S316" s="1492"/>
      <c r="T316" s="1492"/>
      <c r="U316" s="1492"/>
      <c r="V316" s="1492"/>
      <c r="W316" s="1492"/>
      <c r="X316" s="1492"/>
      <c r="Y316" s="1492"/>
      <c r="Z316" s="1492"/>
      <c r="AA316" s="1492"/>
      <c r="AB316" s="1492"/>
      <c r="AC316" s="1492"/>
      <c r="AD316" s="1492"/>
      <c r="AE316" s="1492"/>
    </row>
    <row r="317" spans="1:31" ht="11.25" customHeight="1">
      <c r="A317" s="883"/>
      <c r="B317" s="1492"/>
      <c r="D317" s="1492"/>
      <c r="K317" s="1492"/>
      <c r="N317" s="1492"/>
      <c r="O317" s="1492"/>
      <c r="P317" s="1492"/>
      <c r="Q317" s="1492"/>
      <c r="S317" s="1492"/>
      <c r="T317" s="1492"/>
      <c r="U317" s="1492"/>
      <c r="V317" s="1492"/>
      <c r="W317" s="1492"/>
      <c r="X317" s="1492"/>
      <c r="Y317" s="1492"/>
      <c r="Z317" s="1492"/>
      <c r="AA317" s="1492"/>
      <c r="AB317" s="1492"/>
      <c r="AC317" s="1492"/>
      <c r="AD317" s="1492"/>
      <c r="AE317" s="1492"/>
    </row>
    <row r="318" spans="1:31" ht="11.25" customHeight="1">
      <c r="A318" s="883"/>
      <c r="B318" s="1492"/>
      <c r="D318" s="1492"/>
      <c r="K318" s="1492"/>
      <c r="N318" s="1492"/>
      <c r="O318" s="1492"/>
      <c r="P318" s="1492"/>
      <c r="Q318" s="1492"/>
      <c r="S318" s="1492"/>
      <c r="T318" s="1492"/>
      <c r="U318" s="1492"/>
      <c r="V318" s="1492"/>
      <c r="W318" s="1492"/>
      <c r="X318" s="1492"/>
      <c r="Y318" s="1492"/>
      <c r="Z318" s="1492"/>
      <c r="AA318" s="1492"/>
      <c r="AB318" s="1492"/>
      <c r="AC318" s="1492"/>
      <c r="AD318" s="1492"/>
      <c r="AE318" s="1492"/>
    </row>
    <row r="319" spans="1:31" ht="11.25" customHeight="1">
      <c r="A319" s="883"/>
      <c r="B319" s="1492"/>
      <c r="D319" s="1492"/>
      <c r="K319" s="1492"/>
      <c r="N319" s="1492"/>
      <c r="O319" s="1492"/>
      <c r="P319" s="1492"/>
      <c r="Q319" s="1492"/>
      <c r="S319" s="1492"/>
      <c r="T319" s="1492"/>
      <c r="U319" s="1492"/>
      <c r="V319" s="1492"/>
      <c r="W319" s="1492"/>
      <c r="X319" s="1492"/>
      <c r="Y319" s="1492"/>
      <c r="Z319" s="1492"/>
      <c r="AA319" s="1492"/>
      <c r="AB319" s="1492"/>
      <c r="AC319" s="1492"/>
      <c r="AD319" s="1492"/>
      <c r="AE319" s="1492"/>
    </row>
    <row r="320" spans="1:31" ht="11.25" customHeight="1">
      <c r="A320" s="883"/>
      <c r="B320" s="1492"/>
      <c r="D320" s="1492"/>
      <c r="K320" s="1492"/>
      <c r="N320" s="1492"/>
      <c r="O320" s="1492"/>
      <c r="P320" s="1492"/>
      <c r="Q320" s="1492"/>
      <c r="S320" s="1492"/>
      <c r="T320" s="1492"/>
      <c r="U320" s="1492"/>
      <c r="V320" s="1492"/>
      <c r="W320" s="1492"/>
      <c r="X320" s="1492"/>
      <c r="Y320" s="1492"/>
      <c r="Z320" s="1492"/>
      <c r="AA320" s="1492"/>
      <c r="AB320" s="1492"/>
      <c r="AC320" s="1492"/>
      <c r="AD320" s="1492"/>
      <c r="AE320" s="1492"/>
    </row>
    <row r="321" spans="1:31" ht="11.25" customHeight="1">
      <c r="A321" s="883"/>
      <c r="B321" s="1492"/>
      <c r="D321" s="1492"/>
      <c r="K321" s="1492"/>
      <c r="N321" s="1492"/>
      <c r="O321" s="1492"/>
      <c r="P321" s="1492"/>
      <c r="Q321" s="1492"/>
      <c r="S321" s="1492"/>
      <c r="T321" s="1492"/>
      <c r="U321" s="1492"/>
      <c r="V321" s="1492"/>
      <c r="W321" s="1492"/>
      <c r="X321" s="1492"/>
      <c r="Y321" s="1492"/>
      <c r="Z321" s="1492"/>
      <c r="AA321" s="1492"/>
      <c r="AB321" s="1492"/>
      <c r="AC321" s="1492"/>
      <c r="AD321" s="1492"/>
      <c r="AE321" s="1492"/>
    </row>
    <row r="322" spans="1:31" ht="11.25" customHeight="1">
      <c r="A322" s="883"/>
      <c r="B322" s="1492"/>
      <c r="D322" s="1492"/>
      <c r="K322" s="1492"/>
      <c r="N322" s="1492"/>
      <c r="O322" s="1492"/>
      <c r="P322" s="1492"/>
      <c r="Q322" s="1492"/>
      <c r="S322" s="1492"/>
      <c r="T322" s="1492"/>
      <c r="U322" s="1492"/>
      <c r="V322" s="1492"/>
      <c r="W322" s="1492"/>
      <c r="X322" s="1492"/>
      <c r="Y322" s="1492"/>
      <c r="Z322" s="1492"/>
      <c r="AA322" s="1492"/>
      <c r="AB322" s="1492"/>
      <c r="AC322" s="1492"/>
      <c r="AD322" s="1492"/>
      <c r="AE322" s="1492"/>
    </row>
  </sheetData>
  <sheetProtection formatColumns="0" formatRows="0" insertRows="0" deleteColumns="0" deleteRows="0" sort="0" autoFilter="0"/>
  <mergeCells count="20">
    <mergeCell ref="B2:B7"/>
    <mergeCell ref="J25:J29"/>
    <mergeCell ref="F25:G25"/>
    <mergeCell ref="F26:G26"/>
    <mergeCell ref="F27:G27"/>
    <mergeCell ref="E28:G28"/>
    <mergeCell ref="A136:A150"/>
    <mergeCell ref="E21:I21"/>
    <mergeCell ref="E22:I22"/>
    <mergeCell ref="A33:A52"/>
    <mergeCell ref="B34:B39"/>
    <mergeCell ref="A53:A55"/>
    <mergeCell ref="A79:A80"/>
    <mergeCell ref="A96:A104"/>
    <mergeCell ref="A105:A109"/>
    <mergeCell ref="A110:A112"/>
    <mergeCell ref="A113:A127"/>
    <mergeCell ref="A131:A135"/>
    <mergeCell ref="B40:B45"/>
    <mergeCell ref="B46:B51"/>
  </mergeCells>
  <dataValidations count="12">
    <dataValidation allowBlank="1" showInputMessage="1" showErrorMessage="1" prompt="Для выбора выполните двойной щелчок левой клавиши мыши по соответствующей ячейке." sqref="H80:I80 H78:I78"/>
    <dataValidation type="decimal" allowBlank="1" showErrorMessage="1" errorTitle="Ошибка" error="Введите значение от 0 до 100%" sqref="H104:I104 H109:I109">
      <formula1>0</formula1>
      <formula2>100</formula2>
    </dataValidation>
    <dataValidation type="decimal" allowBlank="1" showErrorMessage="1" errorTitle="Ошибка" error="Допускается ввод только действительных чисел!" sqref="H141:I141 H136:I136 H146:I146 H89:I94">
      <formula1>-9.99999999999999E+37</formula1>
      <formula2>9.99999999999999E+37</formula2>
    </dataValidation>
    <dataValidation type="decimal" allowBlank="1" showErrorMessage="1" errorTitle="Ошибка" error="Допускается ввод только действительных чисел!" sqref="H86:I8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95:I95 H148:I150">
      <formula1>900</formula1>
    </dataValidation>
    <dataValidation type="list" allowBlank="1" showInputMessage="1" showErrorMessage="1" errorTitle="Ошибка" error="Выберите значение из списка" prompt="Выберите значение из списка" sqref="G107">
      <formula1>kind_of_volume_te_unit</formula1>
    </dataValidation>
    <dataValidation type="list" allowBlank="1" showInputMessage="1" showErrorMessage="1" errorTitle="Ошибка" error="Выберите значение из списка" prompt="Выберите значение из списка" sqref="F2 F40 F46">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decimal" allowBlank="1" showErrorMessage="1" errorTitle="Ошибка" error="Допускается ввод только неотрицательных чисел!" sqref="H79:I79 H81:I81 H105:I108 H147:I147 H30:I30 H32:I33 H35:I38 H52:I77 H96:I100 H17:I17 H9:I13 H15:I15 H110:I135 H88:I88 H102:I103 H4:I6 H42 I42 H43 I43 H44 I44 H48 I48 H49 I49 H50 I50 H83:H84 I83:I84 H138:H139 I138:I139 H143:H144 I143:I144">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I39 H39 G42 G48">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I82 H82">
      <formula1>900</formula1>
    </dataValidation>
    <dataValidation type="list" allowBlank="1" showInputMessage="1" showErrorMessage="1" errorTitle="Ошибка" error="Выберите значение из списка" prompt="Выберите значение из списка" sqref="H7:I7 H45 H51 I45 I51">
      <formula1>kind_of_purchase_method</formula1>
    </dataValidation>
  </dataValidations>
  <hyperlinks>
    <hyperlink ref="I95" r:id="rId1"/>
  </hyperlink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E28"/>
  <sheetViews>
    <sheetView showGridLines="0" topLeftCell="C4" zoomScale="90" workbookViewId="0"/>
  </sheetViews>
  <sheetFormatPr defaultColWidth="9.140625" defaultRowHeight="11.25" customHeight="1"/>
  <cols>
    <col min="1" max="1" width="14.7109375" style="1734" hidden="1" customWidth="1"/>
    <col min="2" max="2" width="17" style="1741" hidden="1" customWidth="1"/>
    <col min="3" max="3" width="3.7109375" style="1846" customWidth="1"/>
    <col min="4" max="4" width="1.85546875" style="1846" hidden="1" customWidth="1"/>
    <col min="5" max="6" width="7.7109375" style="1846" customWidth="1"/>
    <col min="7" max="7" width="29.7109375" style="1846" customWidth="1"/>
    <col min="8" max="8" width="3.7109375" style="1846" customWidth="1"/>
    <col min="9" max="9" width="5.42578125" style="1846" customWidth="1"/>
    <col min="10" max="10" width="24.5703125" style="1846" customWidth="1"/>
    <col min="11" max="11" width="24.42578125" style="1846" customWidth="1"/>
    <col min="12" max="12" width="3.7109375" style="1846" customWidth="1"/>
    <col min="13" max="13" width="6.28515625" style="1846" customWidth="1"/>
    <col min="14" max="14" width="25.85546875" style="1846" customWidth="1"/>
    <col min="15" max="18" width="18.7109375" style="1846" customWidth="1"/>
    <col min="19" max="19" width="93.42578125" style="1846" customWidth="1"/>
    <col min="20" max="20" width="10.5703125" style="1846" customWidth="1"/>
    <col min="21" max="21" width="10.5703125" style="1772" customWidth="1"/>
    <col min="22" max="22" width="11.7109375" style="1772" customWidth="1"/>
    <col min="23" max="27" width="10.5703125" style="1741" customWidth="1"/>
    <col min="28" max="83" width="9.140625" style="1846"/>
  </cols>
  <sheetData>
    <row r="1" spans="1:83" ht="11.25" hidden="1" customHeight="1"/>
    <row r="2" spans="1:83" ht="11.25" hidden="1" customHeight="1"/>
    <row r="3" spans="1:83" ht="11.25" hidden="1" customHeight="1"/>
    <row r="4" spans="1:83" ht="3" customHeight="1">
      <c r="C4" s="437"/>
      <c r="D4" s="437"/>
      <c r="E4" s="437"/>
      <c r="F4" s="437"/>
      <c r="G4" s="437"/>
      <c r="H4" s="437"/>
      <c r="I4" s="437"/>
      <c r="J4" s="437"/>
      <c r="K4" s="94"/>
      <c r="L4" s="94"/>
      <c r="M4" s="94"/>
    </row>
    <row r="5" spans="1:83" ht="33.75" customHeight="1">
      <c r="C5" s="437"/>
      <c r="D5" s="944"/>
      <c r="E5" s="2313" t="str">
        <f>FHD20_NAME_FORM</f>
        <v>Форма 11. Информация о расходах на капитальный и текущий ремонт основных средств</v>
      </c>
      <c r="F5" s="2313"/>
      <c r="G5" s="2313"/>
      <c r="H5" s="2313"/>
      <c r="I5" s="2313"/>
      <c r="J5" s="2313"/>
      <c r="K5" s="2313"/>
      <c r="L5" s="535"/>
      <c r="M5" s="535"/>
    </row>
    <row r="6" spans="1:83" s="1846" customFormat="1" ht="16.5" customHeight="1">
      <c r="A6" s="532"/>
      <c r="B6" s="670"/>
      <c r="C6" s="437"/>
      <c r="D6" s="945"/>
      <c r="E6" s="2113" t="str">
        <f>IF(org=0,"Не определено",org)</f>
        <v>ООО "Автозаводская ТЭЦ"</v>
      </c>
      <c r="F6" s="2113"/>
      <c r="G6" s="2113"/>
      <c r="H6" s="2113"/>
      <c r="I6" s="2113"/>
      <c r="J6" s="2113"/>
      <c r="K6" s="2113"/>
      <c r="L6" s="535"/>
      <c r="M6" s="535"/>
      <c r="U6" s="533"/>
      <c r="V6" s="533"/>
      <c r="W6" s="534"/>
      <c r="X6" s="670"/>
      <c r="Y6" s="670"/>
      <c r="Z6" s="670"/>
      <c r="AA6" s="670"/>
    </row>
    <row r="7" spans="1:83" ht="11.25" customHeight="1">
      <c r="C7" s="437"/>
      <c r="D7" s="437"/>
      <c r="E7" s="437"/>
      <c r="F7" s="437"/>
      <c r="G7" s="450"/>
      <c r="H7" s="450"/>
      <c r="I7" s="450"/>
      <c r="J7" s="450"/>
      <c r="K7" s="536"/>
      <c r="L7" s="536"/>
      <c r="M7" s="536"/>
      <c r="R7" s="665"/>
    </row>
    <row r="8" spans="1:83" s="1720" customFormat="1" ht="5.25" customHeight="1">
      <c r="A8" s="543"/>
      <c r="B8" s="493"/>
      <c r="C8" s="275"/>
      <c r="D8" s="275"/>
      <c r="E8" s="275"/>
      <c r="F8" s="275"/>
      <c r="G8" s="869"/>
      <c r="H8" s="869"/>
      <c r="I8" s="869"/>
      <c r="J8" s="869"/>
      <c r="K8" s="909"/>
      <c r="L8" s="909"/>
      <c r="M8" s="909"/>
      <c r="R8" s="910"/>
      <c r="U8" s="533"/>
      <c r="V8" s="533"/>
      <c r="W8" s="544"/>
      <c r="X8" s="493"/>
      <c r="Y8" s="493"/>
      <c r="Z8" s="493"/>
      <c r="AA8" s="493"/>
    </row>
    <row r="9" spans="1:83" ht="18.75" customHeight="1">
      <c r="D9" s="207"/>
      <c r="E9" s="2003" t="s">
        <v>292</v>
      </c>
      <c r="F9" s="2008"/>
      <c r="G9" s="2008"/>
      <c r="H9" s="2008"/>
      <c r="I9" s="2008"/>
      <c r="J9" s="2008"/>
      <c r="K9" s="2008"/>
      <c r="L9" s="2008"/>
      <c r="M9" s="2008"/>
      <c r="N9" s="2008"/>
      <c r="O9" s="2008"/>
      <c r="P9" s="2008"/>
      <c r="Q9" s="2008"/>
      <c r="R9" s="2002"/>
      <c r="S9" s="2021" t="s">
        <v>293</v>
      </c>
      <c r="T9" s="259"/>
    </row>
    <row r="10" spans="1:83" ht="33.75" customHeight="1">
      <c r="D10" s="478" t="s">
        <v>88</v>
      </c>
      <c r="E10" s="2021" t="s">
        <v>88</v>
      </c>
      <c r="F10" s="2021"/>
      <c r="G10" s="449" t="s">
        <v>294</v>
      </c>
      <c r="H10" s="2021" t="s">
        <v>88</v>
      </c>
      <c r="I10" s="2021"/>
      <c r="J10" s="449" t="s">
        <v>1764</v>
      </c>
      <c r="K10" s="449" t="s">
        <v>1765</v>
      </c>
      <c r="L10" s="2021" t="s">
        <v>88</v>
      </c>
      <c r="M10" s="2021"/>
      <c r="N10" s="449" t="s">
        <v>1766</v>
      </c>
      <c r="O10" s="449" t="s">
        <v>1767</v>
      </c>
      <c r="P10" s="449" t="s">
        <v>1768</v>
      </c>
      <c r="Q10" s="449" t="s">
        <v>1769</v>
      </c>
      <c r="R10" s="449" t="s">
        <v>1770</v>
      </c>
      <c r="S10" s="2021"/>
      <c r="T10" s="259"/>
    </row>
    <row r="11" spans="1:83" s="1772" customFormat="1" ht="15" hidden="1" customHeight="1">
      <c r="A11" s="938"/>
      <c r="D11" s="918" t="s">
        <v>109</v>
      </c>
      <c r="E11" s="918"/>
      <c r="F11" s="918" t="s">
        <v>110</v>
      </c>
      <c r="G11" s="918" t="s">
        <v>90</v>
      </c>
      <c r="H11" s="918"/>
      <c r="I11" s="918" t="s">
        <v>91</v>
      </c>
      <c r="J11" s="918" t="s">
        <v>111</v>
      </c>
      <c r="K11" s="918" t="s">
        <v>92</v>
      </c>
      <c r="L11" s="918"/>
      <c r="M11" s="918" t="s">
        <v>93</v>
      </c>
      <c r="N11" s="918" t="s">
        <v>112</v>
      </c>
      <c r="O11" s="918" t="s">
        <v>149</v>
      </c>
      <c r="P11" s="918" t="s">
        <v>150</v>
      </c>
      <c r="Q11" s="918" t="s">
        <v>151</v>
      </c>
      <c r="R11" s="918" t="s">
        <v>152</v>
      </c>
      <c r="S11" s="918" t="s">
        <v>153</v>
      </c>
      <c r="U11" s="533"/>
      <c r="V11" s="533"/>
      <c r="W11" s="533"/>
    </row>
    <row r="12" spans="1:83" s="1846" customFormat="1" ht="0.75" customHeight="1">
      <c r="A12" s="537"/>
      <c r="B12" s="288"/>
      <c r="D12" s="475"/>
      <c r="E12" s="270"/>
      <c r="F12" s="270"/>
      <c r="Q12" s="538"/>
      <c r="R12" s="539"/>
      <c r="T12" s="540"/>
      <c r="U12" s="541"/>
      <c r="V12" s="541"/>
      <c r="W12" s="542"/>
      <c r="X12" s="288"/>
      <c r="Y12" s="288"/>
      <c r="Z12" s="288"/>
      <c r="AA12" s="288"/>
    </row>
    <row r="13" spans="1:83" s="1720" customFormat="1" ht="0.75" customHeight="1">
      <c r="A13" s="543"/>
      <c r="B13" s="493"/>
      <c r="D13" s="475" t="s">
        <v>370</v>
      </c>
      <c r="E13" s="487"/>
      <c r="F13" s="487"/>
      <c r="G13" s="487"/>
      <c r="H13" s="487"/>
      <c r="I13" s="487"/>
      <c r="J13" s="487"/>
      <c r="K13" s="487"/>
      <c r="L13" s="487"/>
      <c r="M13" s="487"/>
      <c r="N13" s="487"/>
      <c r="O13" s="487"/>
      <c r="P13" s="487"/>
      <c r="Q13" s="487"/>
      <c r="R13" s="487"/>
      <c r="T13" s="259"/>
      <c r="U13" s="533"/>
      <c r="V13" s="533"/>
      <c r="W13" s="544"/>
      <c r="X13" s="493"/>
      <c r="Y13" s="493"/>
      <c r="Z13" s="493"/>
      <c r="AA13" s="493"/>
    </row>
    <row r="14" spans="1:83" s="1753" customFormat="1" ht="15" hidden="1" customHeight="1">
      <c r="A14" s="545" t="s">
        <v>117</v>
      </c>
      <c r="B14" s="546"/>
      <c r="C14" s="546"/>
      <c r="D14" s="2347" t="s">
        <v>109</v>
      </c>
      <c r="E14" s="2166" t="s">
        <v>105</v>
      </c>
      <c r="F14" s="2167"/>
      <c r="G14" s="2168"/>
      <c r="H14" s="2169"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v>
      </c>
      <c r="I14" s="2169"/>
      <c r="J14" s="2169"/>
      <c r="K14" s="2169"/>
      <c r="L14" s="2169"/>
      <c r="M14" s="2169"/>
      <c r="N14" s="2169"/>
      <c r="O14" s="2169"/>
      <c r="P14" s="2169"/>
      <c r="Q14" s="2169"/>
      <c r="R14" s="2169"/>
      <c r="S14" s="633"/>
      <c r="T14" s="630"/>
      <c r="U14" s="547"/>
      <c r="V14" s="547"/>
      <c r="W14" s="548"/>
      <c r="X14" s="548"/>
      <c r="Y14" s="548"/>
      <c r="Z14" s="548"/>
      <c r="AA14" s="549"/>
      <c r="AB14" s="550"/>
      <c r="AC14" s="2178"/>
      <c r="AD14" s="551"/>
      <c r="AE14" s="552" t="s">
        <v>17</v>
      </c>
      <c r="AF14" s="552"/>
      <c r="AG14" s="553" t="s">
        <v>1419</v>
      </c>
      <c r="AH14" s="554">
        <v>3</v>
      </c>
      <c r="AI14" s="547"/>
      <c r="AJ14" s="547"/>
      <c r="AK14" s="547"/>
      <c r="AL14" s="547"/>
      <c r="AM14" s="547"/>
      <c r="AN14" s="547"/>
      <c r="AO14" s="547"/>
      <c r="AP14" s="547"/>
      <c r="AQ14" s="547"/>
      <c r="AR14" s="547"/>
      <c r="AS14" s="547"/>
      <c r="AT14" s="547"/>
      <c r="AU14" s="547"/>
      <c r="AV14" s="547"/>
      <c r="AW14" s="547"/>
      <c r="AX14" s="547"/>
      <c r="AY14" s="547"/>
      <c r="AZ14" s="547"/>
      <c r="BA14" s="547"/>
      <c r="BB14" s="547"/>
      <c r="BC14" s="547"/>
      <c r="BD14" s="547"/>
      <c r="BE14" s="547"/>
      <c r="BF14" s="547"/>
      <c r="BG14" s="547"/>
      <c r="BH14" s="547"/>
      <c r="BI14" s="547"/>
      <c r="BJ14" s="547"/>
      <c r="BK14" s="547"/>
      <c r="BL14" s="547"/>
      <c r="BM14" s="547"/>
      <c r="BN14" s="547"/>
      <c r="BO14" s="547"/>
      <c r="BP14" s="547"/>
      <c r="BQ14" s="547"/>
      <c r="BR14" s="547"/>
      <c r="BS14" s="547"/>
      <c r="BT14" s="547"/>
      <c r="BU14" s="547"/>
      <c r="BV14" s="548"/>
      <c r="BW14" s="548"/>
      <c r="BX14" s="548"/>
      <c r="BY14" s="548"/>
      <c r="BZ14" s="548"/>
      <c r="CA14" s="548"/>
      <c r="CB14" s="548"/>
      <c r="CC14" s="548"/>
      <c r="CD14" s="548"/>
      <c r="CE14" s="548"/>
    </row>
    <row r="15" spans="1:83" s="1753" customFormat="1" ht="15" hidden="1" customHeight="1">
      <c r="A15" s="545"/>
      <c r="B15" s="546"/>
      <c r="C15" s="546"/>
      <c r="D15" s="2348"/>
      <c r="E15" s="2166" t="s">
        <v>1420</v>
      </c>
      <c r="F15" s="2167"/>
      <c r="G15" s="2168"/>
      <c r="H15" s="2169" t="str">
        <f>IF(A14="","",INDEX(DIFFERENTIATION_UNMERGE_AREA,MATCH(A14,DIFFERENTIATION_ID_DIFF,0)))</f>
        <v>Территория 1</v>
      </c>
      <c r="I15" s="2169"/>
      <c r="J15" s="2169"/>
      <c r="K15" s="2169"/>
      <c r="L15" s="2169"/>
      <c r="M15" s="2169"/>
      <c r="N15" s="2169"/>
      <c r="O15" s="2169"/>
      <c r="P15" s="2169"/>
      <c r="Q15" s="2169"/>
      <c r="R15" s="2169"/>
      <c r="S15" s="633"/>
      <c r="T15" s="630"/>
      <c r="U15" s="547"/>
      <c r="V15" s="547"/>
      <c r="W15" s="548"/>
      <c r="X15" s="548"/>
      <c r="Y15" s="548"/>
      <c r="Z15" s="548"/>
      <c r="AA15" s="549"/>
      <c r="AB15" s="550"/>
      <c r="AC15" s="2178"/>
      <c r="AD15" s="551"/>
      <c r="AE15" s="552"/>
      <c r="AF15" s="552"/>
      <c r="AG15" s="553"/>
      <c r="AH15" s="554"/>
      <c r="AI15" s="547"/>
      <c r="AJ15" s="547"/>
      <c r="AK15" s="547"/>
      <c r="AL15" s="547"/>
      <c r="AM15" s="547"/>
      <c r="AN15" s="547"/>
      <c r="AO15" s="547"/>
      <c r="AP15" s="547"/>
      <c r="AQ15" s="547"/>
      <c r="AR15" s="547"/>
      <c r="AS15" s="547"/>
      <c r="AT15" s="547"/>
      <c r="AU15" s="547"/>
      <c r="AV15" s="547"/>
      <c r="AW15" s="547"/>
      <c r="AX15" s="547"/>
      <c r="AY15" s="547"/>
      <c r="AZ15" s="547"/>
      <c r="BA15" s="547"/>
      <c r="BB15" s="547"/>
      <c r="BC15" s="547"/>
      <c r="BD15" s="547"/>
      <c r="BE15" s="547"/>
      <c r="BF15" s="547"/>
      <c r="BG15" s="547"/>
      <c r="BH15" s="547"/>
      <c r="BI15" s="547"/>
      <c r="BJ15" s="547"/>
      <c r="BK15" s="547"/>
      <c r="BL15" s="547"/>
      <c r="BM15" s="547"/>
      <c r="BN15" s="547"/>
      <c r="BO15" s="547"/>
      <c r="BP15" s="547"/>
      <c r="BQ15" s="547"/>
      <c r="BR15" s="547"/>
      <c r="BS15" s="547"/>
      <c r="BT15" s="547"/>
      <c r="BU15" s="547"/>
      <c r="BV15" s="548"/>
      <c r="BW15" s="548"/>
      <c r="BX15" s="548"/>
      <c r="BY15" s="548"/>
      <c r="BZ15" s="548"/>
      <c r="CA15" s="548"/>
      <c r="CB15" s="548"/>
      <c r="CC15" s="548"/>
      <c r="CD15" s="548"/>
      <c r="CE15" s="548"/>
    </row>
    <row r="16" spans="1:83" s="1753" customFormat="1" ht="15" hidden="1" customHeight="1">
      <c r="A16" s="545"/>
      <c r="B16" s="546"/>
      <c r="C16" s="546"/>
      <c r="D16" s="2348"/>
      <c r="E16" s="2166" t="s">
        <v>1421</v>
      </c>
      <c r="F16" s="2167"/>
      <c r="G16" s="2168"/>
      <c r="H16" s="2169" t="str">
        <f>IF(A14="","",INDEX(DIFFERENTIATION_UNMERGE_SYSTEM,MATCH(A14,DIFFERENTIATION_ID_DIFF,0)))</f>
        <v>без дифференциации</v>
      </c>
      <c r="I16" s="2169"/>
      <c r="J16" s="2169"/>
      <c r="K16" s="2169"/>
      <c r="L16" s="2169"/>
      <c r="M16" s="2169"/>
      <c r="N16" s="2169"/>
      <c r="O16" s="2169"/>
      <c r="P16" s="2169"/>
      <c r="Q16" s="2169"/>
      <c r="R16" s="2169"/>
      <c r="S16" s="633"/>
      <c r="T16" s="630"/>
      <c r="U16" s="547"/>
      <c r="V16" s="547"/>
      <c r="W16" s="548"/>
      <c r="X16" s="548"/>
      <c r="Y16" s="548"/>
      <c r="Z16" s="548"/>
      <c r="AA16" s="549"/>
      <c r="AB16" s="550"/>
      <c r="AC16" s="2178"/>
      <c r="AD16" s="551"/>
      <c r="AE16" s="552"/>
      <c r="AF16" s="552"/>
      <c r="AG16" s="553"/>
      <c r="AH16" s="554"/>
      <c r="AI16" s="547"/>
      <c r="AJ16" s="547"/>
      <c r="AK16" s="547"/>
      <c r="AL16" s="547"/>
      <c r="AM16" s="547"/>
      <c r="AN16" s="547"/>
      <c r="AO16" s="547"/>
      <c r="AP16" s="547"/>
      <c r="AQ16" s="547"/>
      <c r="AR16" s="547"/>
      <c r="AS16" s="547"/>
      <c r="AT16" s="547"/>
      <c r="AU16" s="547"/>
      <c r="AV16" s="547"/>
      <c r="AW16" s="547"/>
      <c r="AX16" s="547"/>
      <c r="AY16" s="547"/>
      <c r="AZ16" s="547"/>
      <c r="BA16" s="547"/>
      <c r="BB16" s="547"/>
      <c r="BC16" s="547"/>
      <c r="BD16" s="547"/>
      <c r="BE16" s="547"/>
      <c r="BF16" s="547"/>
      <c r="BG16" s="547"/>
      <c r="BH16" s="547"/>
      <c r="BI16" s="547"/>
      <c r="BJ16" s="547"/>
      <c r="BK16" s="547"/>
      <c r="BL16" s="547"/>
      <c r="BM16" s="547"/>
      <c r="BN16" s="547"/>
      <c r="BO16" s="547"/>
      <c r="BP16" s="547"/>
      <c r="BQ16" s="547"/>
      <c r="BR16" s="547"/>
      <c r="BS16" s="547"/>
      <c r="BT16" s="547"/>
      <c r="BU16" s="547"/>
      <c r="BV16" s="548"/>
      <c r="BW16" s="548"/>
      <c r="BX16" s="548"/>
      <c r="BY16" s="548"/>
      <c r="BZ16" s="548"/>
      <c r="CA16" s="548"/>
      <c r="CB16" s="548"/>
      <c r="CC16" s="548"/>
      <c r="CD16" s="548"/>
      <c r="CE16" s="548"/>
    </row>
    <row r="17" spans="1:83" s="1753" customFormat="1" ht="22.5" hidden="1" customHeight="1">
      <c r="A17" s="555"/>
      <c r="B17" s="352"/>
      <c r="C17" s="347"/>
      <c r="D17" s="2348"/>
      <c r="E17" s="2184" t="s">
        <v>1422</v>
      </c>
      <c r="F17" s="2184"/>
      <c r="G17" s="2184"/>
      <c r="H17" s="2184"/>
      <c r="I17" s="2184"/>
      <c r="J17" s="2184"/>
      <c r="K17" s="2184"/>
      <c r="L17" s="2184"/>
      <c r="M17" s="2184"/>
      <c r="N17" s="2184"/>
      <c r="O17" s="2184"/>
      <c r="P17" s="2184"/>
      <c r="Q17" s="485">
        <f>SUMIF(T18:T19,"i",Q18:Q19)</f>
        <v>0</v>
      </c>
      <c r="R17" s="908"/>
      <c r="S17" s="796" t="s">
        <v>1423</v>
      </c>
      <c r="T17" s="631" t="s">
        <v>1424</v>
      </c>
      <c r="U17" s="2157">
        <v>1</v>
      </c>
      <c r="V17" s="2157" t="str">
        <f>INDEX(B_FHD_FLAG_INDEX_1,1,MATCH(A14,B_FHD_FLAG_DIFFERENTIATION,0))</f>
        <v>отсутствует</v>
      </c>
      <c r="W17" s="352"/>
      <c r="X17" s="352"/>
      <c r="Y17" s="352"/>
      <c r="Z17" s="352"/>
      <c r="AA17" s="439"/>
      <c r="AB17" s="352"/>
      <c r="AC17" s="2178"/>
      <c r="AD17" s="551"/>
      <c r="AE17" s="352"/>
      <c r="AF17" s="352"/>
      <c r="AG17" s="439"/>
      <c r="AH17" s="439"/>
      <c r="AI17" s="439"/>
      <c r="AJ17" s="439"/>
      <c r="AK17" s="439"/>
      <c r="AL17" s="439"/>
      <c r="AM17" s="439"/>
      <c r="AN17" s="439"/>
      <c r="AO17" s="439"/>
      <c r="AP17" s="439"/>
      <c r="AQ17" s="439"/>
      <c r="AR17" s="439"/>
      <c r="AS17" s="439"/>
      <c r="AT17" s="439"/>
      <c r="AU17" s="439"/>
      <c r="AV17" s="439"/>
      <c r="AW17" s="439"/>
      <c r="AX17" s="439"/>
      <c r="AY17" s="439"/>
      <c r="AZ17" s="439"/>
      <c r="BA17" s="439"/>
      <c r="BB17" s="439"/>
      <c r="BC17" s="439"/>
      <c r="BD17" s="439"/>
      <c r="BE17" s="439"/>
      <c r="BF17" s="439"/>
      <c r="BG17" s="439"/>
      <c r="BH17" s="439"/>
      <c r="BI17" s="439"/>
      <c r="BJ17" s="439"/>
      <c r="BK17" s="439"/>
      <c r="BL17" s="439"/>
      <c r="BM17" s="439"/>
      <c r="BN17" s="439"/>
      <c r="BO17" s="439"/>
      <c r="BP17" s="439"/>
      <c r="BQ17" s="439"/>
      <c r="BR17" s="439"/>
      <c r="BS17" s="439"/>
      <c r="BT17" s="439"/>
      <c r="BU17" s="439"/>
      <c r="BV17" s="352"/>
      <c r="BW17" s="352"/>
      <c r="BX17" s="352"/>
      <c r="BY17" s="352"/>
      <c r="BZ17" s="352"/>
      <c r="CA17" s="352"/>
      <c r="CB17" s="352"/>
      <c r="CC17" s="352"/>
      <c r="CD17" s="352"/>
      <c r="CE17" s="352"/>
    </row>
    <row r="18" spans="1:83" s="1753" customFormat="1" ht="11.25" hidden="1" customHeight="1">
      <c r="A18" s="556"/>
      <c r="B18" s="439"/>
      <c r="C18" s="439"/>
      <c r="D18" s="2348"/>
      <c r="E18" s="557"/>
      <c r="F18" s="557">
        <v>0</v>
      </c>
      <c r="G18" s="557"/>
      <c r="H18" s="557"/>
      <c r="I18" s="557"/>
      <c r="J18" s="557"/>
      <c r="K18" s="557"/>
      <c r="L18" s="557"/>
      <c r="M18" s="557"/>
      <c r="N18" s="557"/>
      <c r="O18" s="557"/>
      <c r="P18" s="557"/>
      <c r="Q18" s="557"/>
      <c r="R18" s="557"/>
      <c r="S18" s="558"/>
      <c r="T18" s="632"/>
      <c r="U18" s="2157"/>
      <c r="V18" s="2157"/>
      <c r="W18" s="439"/>
      <c r="X18" s="439"/>
      <c r="Y18" s="439"/>
      <c r="Z18" s="439"/>
      <c r="AA18" s="439"/>
      <c r="AB18" s="352"/>
      <c r="AC18" s="2178"/>
      <c r="AD18" s="551"/>
      <c r="AE18" s="352"/>
      <c r="AF18" s="352"/>
      <c r="AG18" s="439"/>
      <c r="AH18" s="439"/>
      <c r="AI18" s="439"/>
      <c r="AJ18" s="439"/>
      <c r="AK18" s="439"/>
      <c r="AL18" s="439"/>
      <c r="AM18" s="439"/>
      <c r="AN18" s="439"/>
      <c r="AO18" s="439"/>
      <c r="AP18" s="439"/>
      <c r="AQ18" s="439"/>
      <c r="AR18" s="439"/>
      <c r="AS18" s="439"/>
      <c r="AT18" s="439"/>
      <c r="AU18" s="439"/>
      <c r="AV18" s="439"/>
      <c r="AW18" s="439"/>
      <c r="AX18" s="439"/>
      <c r="AY18" s="439"/>
      <c r="AZ18" s="439"/>
      <c r="BA18" s="439"/>
      <c r="BB18" s="439"/>
      <c r="BC18" s="439"/>
      <c r="BD18" s="439"/>
      <c r="BE18" s="439"/>
      <c r="BF18" s="439"/>
      <c r="BG18" s="439"/>
      <c r="BH18" s="439"/>
      <c r="BI18" s="439"/>
      <c r="BJ18" s="439"/>
      <c r="BK18" s="439"/>
      <c r="BL18" s="439"/>
      <c r="BM18" s="439"/>
      <c r="BN18" s="439"/>
      <c r="BO18" s="439"/>
      <c r="BP18" s="439"/>
      <c r="BQ18" s="439"/>
      <c r="BR18" s="439"/>
      <c r="BS18" s="439"/>
      <c r="BT18" s="439"/>
      <c r="BU18" s="439"/>
      <c r="BV18" s="439"/>
      <c r="BW18" s="439"/>
      <c r="BX18" s="439"/>
      <c r="BY18" s="439"/>
      <c r="BZ18" s="439"/>
      <c r="CA18" s="439"/>
      <c r="CB18" s="439"/>
      <c r="CC18" s="439"/>
      <c r="CD18" s="439"/>
      <c r="CE18" s="439"/>
    </row>
    <row r="19" spans="1:83" s="1753" customFormat="1" ht="11.25" hidden="1" customHeight="1">
      <c r="A19" s="555"/>
      <c r="B19" s="352"/>
      <c r="C19" s="347"/>
      <c r="D19" s="2348"/>
      <c r="E19" s="566" t="s">
        <v>17</v>
      </c>
      <c r="F19" s="567" t="s">
        <v>17</v>
      </c>
      <c r="G19" s="567" t="s">
        <v>17</v>
      </c>
      <c r="H19" s="568" t="s">
        <v>17</v>
      </c>
      <c r="I19" s="568"/>
      <c r="J19" s="568"/>
      <c r="K19" s="568"/>
      <c r="L19" s="568"/>
      <c r="M19" s="568"/>
      <c r="N19" s="568"/>
      <c r="O19" s="568"/>
      <c r="P19" s="568"/>
      <c r="Q19" s="568"/>
      <c r="R19" s="569"/>
      <c r="S19" s="911"/>
      <c r="T19" s="632"/>
      <c r="U19" s="2157"/>
      <c r="V19" s="2157"/>
      <c r="W19" s="352"/>
      <c r="X19" s="352"/>
      <c r="Y19" s="352"/>
      <c r="Z19" s="352"/>
      <c r="AA19" s="439"/>
      <c r="AB19" s="352"/>
      <c r="AC19" s="2178"/>
      <c r="AD19" s="551"/>
      <c r="AE19" s="352"/>
      <c r="AF19" s="352"/>
      <c r="AG19" s="439"/>
      <c r="AH19" s="439"/>
      <c r="AI19" s="439"/>
      <c r="AJ19" s="439"/>
      <c r="AK19" s="439"/>
      <c r="AL19" s="439"/>
      <c r="AM19" s="439"/>
      <c r="AN19" s="439"/>
      <c r="AO19" s="439"/>
      <c r="AP19" s="439"/>
      <c r="AQ19" s="439"/>
      <c r="AR19" s="439"/>
      <c r="AS19" s="439"/>
      <c r="AT19" s="439"/>
      <c r="AU19" s="439"/>
      <c r="AV19" s="439"/>
      <c r="AW19" s="439"/>
      <c r="AX19" s="439"/>
      <c r="AY19" s="439"/>
      <c r="AZ19" s="439"/>
      <c r="BA19" s="439"/>
      <c r="BB19" s="439"/>
      <c r="BC19" s="439"/>
      <c r="BD19" s="439"/>
      <c r="BE19" s="439"/>
      <c r="BF19" s="439"/>
      <c r="BG19" s="439"/>
      <c r="BH19" s="439"/>
      <c r="BI19" s="439"/>
      <c r="BJ19" s="439"/>
      <c r="BK19" s="439"/>
      <c r="BL19" s="439"/>
      <c r="BM19" s="439"/>
      <c r="BN19" s="439"/>
      <c r="BO19" s="439"/>
      <c r="BP19" s="439"/>
      <c r="BQ19" s="439"/>
      <c r="BR19" s="439"/>
      <c r="BS19" s="439"/>
      <c r="BT19" s="439"/>
      <c r="BU19" s="439"/>
      <c r="BV19" s="352"/>
      <c r="BW19" s="352"/>
      <c r="BX19" s="352"/>
      <c r="BY19" s="352"/>
      <c r="BZ19" s="352"/>
      <c r="CA19" s="352"/>
      <c r="CB19" s="352"/>
      <c r="CC19" s="352"/>
      <c r="CD19" s="352"/>
      <c r="CE19" s="352"/>
    </row>
    <row r="20" spans="1:83" s="1753" customFormat="1" ht="22.5" hidden="1" customHeight="1">
      <c r="A20" s="555"/>
      <c r="B20" s="352"/>
      <c r="C20" s="347"/>
      <c r="D20" s="2348"/>
      <c r="E20" s="2184" t="s">
        <v>1427</v>
      </c>
      <c r="F20" s="2184"/>
      <c r="G20" s="2184"/>
      <c r="H20" s="2184"/>
      <c r="I20" s="2184"/>
      <c r="J20" s="2184"/>
      <c r="K20" s="2184"/>
      <c r="L20" s="2184"/>
      <c r="M20" s="2184"/>
      <c r="N20" s="2184"/>
      <c r="O20" s="2184"/>
      <c r="P20" s="2184"/>
      <c r="Q20" s="485">
        <f>SUMIF(T21:T22,"i",Q21:Q22)</f>
        <v>0</v>
      </c>
      <c r="R20" s="908"/>
      <c r="S20" s="623" t="s">
        <v>1428</v>
      </c>
      <c r="T20" s="631" t="s">
        <v>1424</v>
      </c>
      <c r="U20" s="2157">
        <v>2</v>
      </c>
      <c r="V20" s="2157" t="str">
        <f>INDEX(B_FHD_FLAG_INDEX_2,1,MATCH(A14,B_FHD_FLAG_DIFFERENTIATION,0))</f>
        <v>отсутствует</v>
      </c>
      <c r="W20" s="352"/>
      <c r="X20" s="352"/>
      <c r="Y20" s="352"/>
      <c r="Z20" s="352"/>
      <c r="AA20" s="439"/>
      <c r="AB20" s="352"/>
      <c r="AC20" s="620"/>
      <c r="AD20" s="551"/>
      <c r="AE20" s="352"/>
      <c r="AF20" s="352"/>
      <c r="AG20" s="439"/>
      <c r="AH20" s="439"/>
      <c r="AI20" s="439"/>
      <c r="AJ20" s="439"/>
      <c r="AK20" s="439"/>
      <c r="AL20" s="439"/>
      <c r="AM20" s="439"/>
      <c r="AN20" s="439"/>
      <c r="AO20" s="439"/>
      <c r="AP20" s="439"/>
      <c r="AQ20" s="439"/>
      <c r="AR20" s="439"/>
      <c r="AS20" s="439"/>
      <c r="AT20" s="439"/>
      <c r="AU20" s="439"/>
      <c r="AV20" s="439"/>
      <c r="AW20" s="439"/>
      <c r="AX20" s="439"/>
      <c r="AY20" s="439"/>
      <c r="AZ20" s="439"/>
      <c r="BA20" s="439"/>
      <c r="BB20" s="439"/>
      <c r="BC20" s="439"/>
      <c r="BD20" s="439"/>
      <c r="BE20" s="439"/>
      <c r="BF20" s="439"/>
      <c r="BG20" s="439"/>
      <c r="BH20" s="439"/>
      <c r="BI20" s="439"/>
      <c r="BJ20" s="439"/>
      <c r="BK20" s="439"/>
      <c r="BL20" s="439"/>
      <c r="BM20" s="439"/>
      <c r="BN20" s="439"/>
      <c r="BO20" s="439"/>
      <c r="BP20" s="439"/>
      <c r="BQ20" s="439"/>
      <c r="BR20" s="439"/>
      <c r="BS20" s="439"/>
      <c r="BT20" s="439"/>
      <c r="BU20" s="439"/>
      <c r="BV20" s="352"/>
      <c r="BW20" s="352"/>
      <c r="BX20" s="352"/>
      <c r="BY20" s="352"/>
      <c r="BZ20" s="352"/>
      <c r="CA20" s="352"/>
      <c r="CB20" s="352"/>
      <c r="CC20" s="352"/>
      <c r="CD20" s="352"/>
      <c r="CE20" s="352"/>
    </row>
    <row r="21" spans="1:83" s="1753" customFormat="1" ht="11.25" hidden="1" customHeight="1">
      <c r="A21" s="622"/>
      <c r="B21" s="439"/>
      <c r="C21" s="439"/>
      <c r="D21" s="2348"/>
      <c r="E21" s="557"/>
      <c r="F21" s="557">
        <v>0</v>
      </c>
      <c r="G21" s="557"/>
      <c r="H21" s="557"/>
      <c r="I21" s="557"/>
      <c r="J21" s="557"/>
      <c r="K21" s="557"/>
      <c r="L21" s="557"/>
      <c r="M21" s="557"/>
      <c r="N21" s="557"/>
      <c r="O21" s="557"/>
      <c r="P21" s="557"/>
      <c r="Q21" s="557"/>
      <c r="R21" s="557"/>
      <c r="S21" s="558"/>
      <c r="T21" s="632"/>
      <c r="U21" s="2157"/>
      <c r="V21" s="2157"/>
      <c r="W21" s="439"/>
      <c r="X21" s="439"/>
      <c r="Y21" s="439"/>
      <c r="Z21" s="439"/>
      <c r="AA21" s="439"/>
      <c r="AB21" s="352"/>
      <c r="AC21" s="620"/>
      <c r="AD21" s="551"/>
      <c r="AE21" s="352"/>
      <c r="AF21" s="352"/>
      <c r="AG21" s="439"/>
      <c r="AH21" s="439"/>
      <c r="AI21" s="439"/>
      <c r="AJ21" s="439"/>
      <c r="AK21" s="439"/>
      <c r="AL21" s="439"/>
      <c r="AM21" s="439"/>
      <c r="AN21" s="439"/>
      <c r="AO21" s="439"/>
      <c r="AP21" s="439"/>
      <c r="AQ21" s="439"/>
      <c r="AR21" s="439"/>
      <c r="AS21" s="439"/>
      <c r="AT21" s="439"/>
      <c r="AU21" s="439"/>
      <c r="AV21" s="439"/>
      <c r="AW21" s="439"/>
      <c r="AX21" s="439"/>
      <c r="AY21" s="439"/>
      <c r="AZ21" s="439"/>
      <c r="BA21" s="439"/>
      <c r="BB21" s="439"/>
      <c r="BC21" s="439"/>
      <c r="BD21" s="439"/>
      <c r="BE21" s="439"/>
      <c r="BF21" s="439"/>
      <c r="BG21" s="439"/>
      <c r="BH21" s="439"/>
      <c r="BI21" s="439"/>
      <c r="BJ21" s="439"/>
      <c r="BK21" s="439"/>
      <c r="BL21" s="439"/>
      <c r="BM21" s="439"/>
      <c r="BN21" s="439"/>
      <c r="BO21" s="439"/>
      <c r="BP21" s="439"/>
      <c r="BQ21" s="439"/>
      <c r="BR21" s="439"/>
      <c r="BS21" s="439"/>
      <c r="BT21" s="439"/>
      <c r="BU21" s="439"/>
      <c r="BV21" s="439"/>
      <c r="BW21" s="439"/>
      <c r="BX21" s="439"/>
      <c r="BY21" s="439"/>
      <c r="BZ21" s="439"/>
      <c r="CA21" s="439"/>
      <c r="CB21" s="439"/>
      <c r="CC21" s="439"/>
      <c r="CD21" s="439"/>
      <c r="CE21" s="439"/>
    </row>
    <row r="22" spans="1:83" s="1753" customFormat="1" ht="11.25" hidden="1" customHeight="1">
      <c r="A22" s="555"/>
      <c r="B22" s="352"/>
      <c r="C22" s="347"/>
      <c r="D22" s="2349"/>
      <c r="E22" s="566" t="s">
        <v>17</v>
      </c>
      <c r="F22" s="567" t="s">
        <v>17</v>
      </c>
      <c r="G22" s="567" t="s">
        <v>17</v>
      </c>
      <c r="H22" s="568" t="s">
        <v>17</v>
      </c>
      <c r="I22" s="568"/>
      <c r="J22" s="568"/>
      <c r="K22" s="568"/>
      <c r="L22" s="568"/>
      <c r="M22" s="568"/>
      <c r="N22" s="568"/>
      <c r="O22" s="568"/>
      <c r="P22" s="568"/>
      <c r="Q22" s="568"/>
      <c r="R22" s="569"/>
      <c r="S22" s="911"/>
      <c r="T22" s="632"/>
      <c r="U22" s="2157"/>
      <c r="V22" s="2157"/>
      <c r="W22" s="352"/>
      <c r="X22" s="352"/>
      <c r="Y22" s="352"/>
      <c r="Z22" s="352"/>
      <c r="AA22" s="439"/>
      <c r="AB22" s="352"/>
      <c r="AC22" s="620"/>
      <c r="AD22" s="551"/>
      <c r="AE22" s="352"/>
      <c r="AF22" s="352"/>
      <c r="AG22" s="439"/>
      <c r="AH22" s="439"/>
      <c r="AI22" s="439"/>
      <c r="AJ22" s="439"/>
      <c r="AK22" s="439"/>
      <c r="AL22" s="439"/>
      <c r="AM22" s="439"/>
      <c r="AN22" s="439"/>
      <c r="AO22" s="439"/>
      <c r="AP22" s="439"/>
      <c r="AQ22" s="439"/>
      <c r="AR22" s="439"/>
      <c r="AS22" s="439"/>
      <c r="AT22" s="439"/>
      <c r="AU22" s="439"/>
      <c r="AV22" s="439"/>
      <c r="AW22" s="439"/>
      <c r="AX22" s="439"/>
      <c r="AY22" s="439"/>
      <c r="AZ22" s="439"/>
      <c r="BA22" s="439"/>
      <c r="BB22" s="439"/>
      <c r="BC22" s="439"/>
      <c r="BD22" s="439"/>
      <c r="BE22" s="439"/>
      <c r="BF22" s="439"/>
      <c r="BG22" s="439"/>
      <c r="BH22" s="439"/>
      <c r="BI22" s="439"/>
      <c r="BJ22" s="439"/>
      <c r="BK22" s="439"/>
      <c r="BL22" s="439"/>
      <c r="BM22" s="439"/>
      <c r="BN22" s="439"/>
      <c r="BO22" s="439"/>
      <c r="BP22" s="439"/>
      <c r="BQ22" s="439"/>
      <c r="BR22" s="439"/>
      <c r="BS22" s="439"/>
      <c r="BT22" s="439"/>
      <c r="BU22" s="439"/>
      <c r="BV22" s="352"/>
      <c r="BW22" s="352"/>
      <c r="BX22" s="352"/>
      <c r="BY22" s="352"/>
      <c r="BZ22" s="352"/>
      <c r="CA22" s="352"/>
      <c r="CB22" s="352"/>
      <c r="CC22" s="352"/>
      <c r="CD22" s="352"/>
      <c r="CE22" s="352"/>
    </row>
    <row r="23" spans="1:83" ht="18.75" customHeight="1">
      <c r="D23" s="933"/>
      <c r="E23" s="933"/>
      <c r="F23" s="933"/>
      <c r="G23" s="933"/>
      <c r="H23" s="933"/>
      <c r="I23" s="933"/>
      <c r="J23" s="933"/>
      <c r="K23" s="933"/>
      <c r="L23" s="933"/>
      <c r="M23" s="933"/>
      <c r="N23" s="933"/>
      <c r="O23" s="933"/>
      <c r="P23" s="933"/>
      <c r="Q23" s="933"/>
      <c r="R23" s="933"/>
      <c r="S23" s="933"/>
      <c r="T23" s="259"/>
    </row>
    <row r="24" spans="1:83" ht="11.25" customHeight="1">
      <c r="D24" s="437"/>
    </row>
    <row r="25" spans="1:83" ht="11.25" customHeight="1">
      <c r="D25" s="570"/>
      <c r="E25" s="570"/>
      <c r="F25" s="570"/>
      <c r="G25" s="571"/>
    </row>
    <row r="27" spans="1:83" ht="11.25" customHeight="1">
      <c r="D27" s="572"/>
      <c r="E27" s="2350"/>
      <c r="F27" s="2350"/>
      <c r="G27" s="2350"/>
      <c r="H27" s="2350"/>
      <c r="I27" s="2350"/>
      <c r="J27" s="2350"/>
      <c r="K27" s="2350"/>
      <c r="L27" s="2350"/>
      <c r="M27" s="2350"/>
      <c r="N27" s="2350"/>
      <c r="O27" s="2350"/>
      <c r="P27" s="2350"/>
      <c r="Q27" s="2350"/>
      <c r="R27" s="2350"/>
    </row>
    <row r="28" spans="1:83" ht="11.25" customHeight="1">
      <c r="F28" s="669"/>
      <c r="G28" s="669"/>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218"/>
  <sheetViews>
    <sheetView showGridLines="0" topLeftCell="D5" zoomScale="90" workbookViewId="0"/>
  </sheetViews>
  <sheetFormatPr defaultColWidth="9.140625" defaultRowHeight="11.25" customHeight="1"/>
  <cols>
    <col min="1" max="1" width="10.7109375" style="1717" hidden="1" customWidth="1"/>
    <col min="2" max="2" width="16.85546875" style="1759" hidden="1" customWidth="1"/>
    <col min="3" max="3" width="5.5703125" style="1772" hidden="1" customWidth="1"/>
    <col min="4" max="4" width="3.7109375" style="1846" customWidth="1"/>
    <col min="5" max="5" width="7.7109375" style="1846" customWidth="1"/>
    <col min="6" max="6" width="56.140625" style="1846" customWidth="1"/>
    <col min="7" max="7" width="10.42578125" style="1846" customWidth="1"/>
    <col min="8" max="8" width="40.7109375" style="1846" hidden="1" customWidth="1"/>
    <col min="9" max="9" width="40.7109375" style="1846" customWidth="1"/>
    <col min="10" max="10" width="102.85546875" style="1846" customWidth="1"/>
    <col min="11" max="11" width="9.7109375" style="1759" customWidth="1"/>
    <col min="12" max="12" width="5.28515625" style="1772" customWidth="1"/>
    <col min="13" max="13" width="3.7109375" style="1772" customWidth="1"/>
    <col min="14" max="17" width="3.7109375" style="1759" customWidth="1"/>
    <col min="18" max="18" width="10.5703125" style="1772" customWidth="1"/>
    <col min="19" max="19" width="34.7109375" style="1759" customWidth="1"/>
    <col min="20" max="20" width="9.42578125" style="1759" customWidth="1"/>
    <col min="21" max="21" width="9.140625" style="1723"/>
    <col min="22" max="26" width="9.140625" style="1759"/>
    <col min="27" max="31" width="9.140625" style="1741"/>
  </cols>
  <sheetData>
    <row r="1" spans="1:31" s="1759" customFormat="1" ht="11.25" hidden="1" customHeight="1">
      <c r="A1" s="880"/>
      <c r="C1" s="1497"/>
      <c r="D1" s="464"/>
      <c r="H1" s="1036">
        <v>4</v>
      </c>
      <c r="I1" s="1036">
        <v>4</v>
      </c>
      <c r="L1" s="1497"/>
      <c r="M1" s="1497"/>
      <c r="R1" s="1497"/>
    </row>
    <row r="2" spans="1:31" s="1759" customFormat="1" ht="22.5" hidden="1" customHeight="1">
      <c r="A2" s="880"/>
      <c r="C2" s="1497"/>
      <c r="D2" s="465"/>
      <c r="E2" s="1498"/>
      <c r="F2" s="467"/>
      <c r="G2" s="1500" t="s">
        <v>1718</v>
      </c>
      <c r="H2" s="468"/>
      <c r="I2" s="468"/>
      <c r="J2" s="469" t="s">
        <v>1771</v>
      </c>
      <c r="K2" s="470"/>
      <c r="L2" s="1497"/>
      <c r="M2" s="1497"/>
      <c r="R2" s="1497"/>
      <c r="U2" s="471"/>
      <c r="AA2" s="1493"/>
      <c r="AB2" s="1493"/>
      <c r="AC2" s="1493"/>
      <c r="AD2" s="1493"/>
      <c r="AE2" s="1493"/>
    </row>
    <row r="3" spans="1:31" ht="11.25" hidden="1" customHeight="1"/>
    <row r="4" spans="1:31" s="1741" customFormat="1" ht="11.25" hidden="1" customHeight="1">
      <c r="A4" s="880"/>
      <c r="B4" s="1036"/>
      <c r="C4" s="1497"/>
      <c r="D4" s="288"/>
      <c r="J4" s="1493">
        <v>4</v>
      </c>
      <c r="K4" s="1036"/>
      <c r="L4" s="1497"/>
      <c r="M4" s="1497"/>
      <c r="N4" s="1036"/>
      <c r="O4" s="1036"/>
      <c r="P4" s="1036"/>
      <c r="Q4" s="1036"/>
      <c r="R4" s="1497"/>
      <c r="S4" s="1036"/>
      <c r="T4" s="1036"/>
      <c r="U4" s="471"/>
      <c r="V4" s="1036"/>
      <c r="W4" s="1036"/>
      <c r="X4" s="1036"/>
      <c r="Y4" s="1036"/>
      <c r="Z4" s="1036"/>
    </row>
    <row r="6" spans="1:31" ht="24" customHeight="1">
      <c r="E6" s="2014" t="s">
        <v>1772</v>
      </c>
      <c r="F6" s="2015"/>
      <c r="G6" s="2015"/>
      <c r="H6" s="2015"/>
      <c r="I6" s="2016"/>
      <c r="J6" s="483"/>
    </row>
    <row r="7" spans="1:31" ht="24" customHeight="1">
      <c r="E7" s="2126" t="str">
        <f>IF(org=0,"Не определено",org)</f>
        <v>ООО "Автозаводская ТЭЦ"</v>
      </c>
      <c r="F7" s="2127"/>
      <c r="G7" s="2127"/>
      <c r="H7" s="2127"/>
      <c r="I7" s="2128"/>
    </row>
    <row r="8" spans="1:31" ht="11.25" customHeight="1">
      <c r="E8" s="1014"/>
      <c r="F8" s="1014"/>
      <c r="G8" s="1014"/>
      <c r="H8" s="1014"/>
      <c r="I8" s="1014"/>
    </row>
    <row r="9" spans="1:31" s="1772" customFormat="1" ht="0.75" customHeight="1">
      <c r="A9" s="1043"/>
      <c r="D9" s="1502"/>
      <c r="H9" s="786"/>
      <c r="I9" s="786" t="s">
        <v>117</v>
      </c>
    </row>
    <row r="10" spans="1:31" ht="11.25" customHeight="1">
      <c r="E10" s="625"/>
      <c r="F10" s="2309" t="s">
        <v>105</v>
      </c>
      <c r="G10" s="2310"/>
      <c r="H10" s="1425" t="str">
        <f>IF(H9="","",INDEX(DIFFERENTIATION_UNMERGE_VD,MATCH(H9,DIFFERENTIATION_ID_DIFF,0)))</f>
        <v/>
      </c>
      <c r="I10" s="1425"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021"/>
    </row>
    <row r="11" spans="1:31" ht="11.25" customHeight="1">
      <c r="E11" s="625"/>
      <c r="F11" s="2309" t="s">
        <v>1420</v>
      </c>
      <c r="G11" s="2310"/>
      <c r="H11" s="1425" t="str">
        <f>IF(H9="","",INDEX(DIFFERENTIATION_UNMERGE_AREA,MATCH(H9,DIFFERENTIATION_ID_DIFF,0)))</f>
        <v/>
      </c>
      <c r="I11" s="1425" t="str">
        <f>IF(I9="","",INDEX(DIFFERENTIATION_UNMERGE_AREA,MATCH(I9,DIFFERENTIATION_ID_DIFF,0)))</f>
        <v>Территория 1</v>
      </c>
      <c r="J11" s="2021"/>
    </row>
    <row r="12" spans="1:31" ht="11.25" hidden="1" customHeight="1">
      <c r="E12" s="1522"/>
      <c r="F12" s="2351" t="s">
        <v>1421</v>
      </c>
      <c r="G12" s="2352"/>
      <c r="H12" s="1523" t="str">
        <f>IF(H9="","",INDEX(DIFFERENTIATION_UNMERGE_SYSTEM,MATCH(H9,DIFFERENTIATION_ID_DIFF,0)))</f>
        <v/>
      </c>
      <c r="I12" s="1523" t="str">
        <f>IF(I9="","",INDEX(DIFFERENTIATION_UNMERGE_SYSTEM,MATCH(I9,DIFFERENTIATION_ID_DIFF,0)))</f>
        <v>без дифференциации</v>
      </c>
      <c r="J12" s="2021"/>
    </row>
    <row r="13" spans="1:31" ht="11.25" customHeight="1">
      <c r="E13" s="2311" t="s">
        <v>292</v>
      </c>
      <c r="F13" s="2312"/>
      <c r="G13" s="2312"/>
      <c r="H13" s="1424"/>
      <c r="I13" s="1424"/>
      <c r="J13" s="2021"/>
    </row>
    <row r="14" spans="1:31" ht="22.5" customHeight="1">
      <c r="E14" s="1500" t="s">
        <v>88</v>
      </c>
      <c r="F14" s="1495" t="s">
        <v>294</v>
      </c>
      <c r="G14" s="1495" t="s">
        <v>1599</v>
      </c>
      <c r="H14" s="1495" t="s">
        <v>295</v>
      </c>
      <c r="I14" s="1495" t="s">
        <v>295</v>
      </c>
      <c r="J14" s="2021"/>
    </row>
    <row r="15" spans="1:31" ht="18.75" customHeight="1">
      <c r="D15" s="1499"/>
      <c r="E15" s="1491" t="s">
        <v>109</v>
      </c>
      <c r="F15" s="621" t="s">
        <v>1773</v>
      </c>
      <c r="G15" s="1506" t="s">
        <v>1718</v>
      </c>
      <c r="H15" s="484"/>
      <c r="I15" s="484"/>
      <c r="J15" s="207" t="s">
        <v>1774</v>
      </c>
      <c r="K15" s="470" t="s">
        <v>1775</v>
      </c>
    </row>
    <row r="16" spans="1:31" ht="33.75" customHeight="1">
      <c r="D16" s="1499"/>
      <c r="E16" s="1491" t="s">
        <v>110</v>
      </c>
      <c r="F16" s="621" t="s">
        <v>1776</v>
      </c>
      <c r="G16" s="1506" t="s">
        <v>1718</v>
      </c>
      <c r="H16" s="485">
        <f>SUM(H17,H20:H32)</f>
        <v>0</v>
      </c>
      <c r="I16" s="485">
        <f>SUM(I17,I20:I32)</f>
        <v>0</v>
      </c>
      <c r="J16" s="207" t="s">
        <v>1777</v>
      </c>
      <c r="K16" s="470" t="s">
        <v>1775</v>
      </c>
    </row>
    <row r="17" spans="1:31" ht="18.75" customHeight="1">
      <c r="D17" s="1499"/>
      <c r="E17" s="1524" t="s">
        <v>505</v>
      </c>
      <c r="F17" s="849" t="s">
        <v>1778</v>
      </c>
      <c r="G17" s="1503" t="s">
        <v>1718</v>
      </c>
      <c r="H17" s="484"/>
      <c r="I17" s="484"/>
      <c r="J17" s="207" t="s">
        <v>1779</v>
      </c>
      <c r="K17" s="470"/>
    </row>
    <row r="18" spans="1:31" ht="22.5" customHeight="1">
      <c r="D18" s="1499"/>
      <c r="E18" s="1524" t="s">
        <v>1457</v>
      </c>
      <c r="F18" s="1510" t="s">
        <v>1780</v>
      </c>
      <c r="G18" s="1503" t="s">
        <v>1718</v>
      </c>
      <c r="H18" s="484"/>
      <c r="I18" s="484"/>
      <c r="J18" s="207" t="s">
        <v>1781</v>
      </c>
      <c r="K18" s="470"/>
    </row>
    <row r="19" spans="1:31" ht="33.75" customHeight="1">
      <c r="D19" s="1499"/>
      <c r="E19" s="1524" t="s">
        <v>1782</v>
      </c>
      <c r="F19" s="1510" t="s">
        <v>1783</v>
      </c>
      <c r="G19" s="1503" t="s">
        <v>1718</v>
      </c>
      <c r="H19" s="484"/>
      <c r="I19" s="484"/>
      <c r="J19" s="207"/>
      <c r="K19" s="470"/>
    </row>
    <row r="20" spans="1:31" ht="18.75" customHeight="1">
      <c r="D20" s="1499"/>
      <c r="E20" s="1524" t="s">
        <v>299</v>
      </c>
      <c r="F20" s="849" t="s">
        <v>1784</v>
      </c>
      <c r="G20" s="1503" t="s">
        <v>1718</v>
      </c>
      <c r="H20" s="484"/>
      <c r="I20" s="484"/>
      <c r="J20" s="207" t="s">
        <v>1785</v>
      </c>
      <c r="K20" s="470"/>
    </row>
    <row r="21" spans="1:31" ht="18.75" customHeight="1">
      <c r="D21" s="1499"/>
      <c r="E21" s="1524" t="s">
        <v>520</v>
      </c>
      <c r="F21" s="1510" t="s">
        <v>1786</v>
      </c>
      <c r="G21" s="1503" t="s">
        <v>1718</v>
      </c>
      <c r="H21" s="484"/>
      <c r="I21" s="484"/>
      <c r="J21" s="207"/>
      <c r="K21" s="470"/>
    </row>
    <row r="22" spans="1:31" ht="18.75" customHeight="1">
      <c r="D22" s="1499"/>
      <c r="E22" s="1524" t="s">
        <v>525</v>
      </c>
      <c r="F22" s="1510" t="s">
        <v>1787</v>
      </c>
      <c r="G22" s="1503" t="s">
        <v>1718</v>
      </c>
      <c r="H22" s="484"/>
      <c r="I22" s="484"/>
      <c r="J22" s="207"/>
      <c r="K22" s="470"/>
    </row>
    <row r="23" spans="1:31" ht="22.5" customHeight="1">
      <c r="D23" s="1499"/>
      <c r="E23" s="1524" t="s">
        <v>302</v>
      </c>
      <c r="F23" s="849" t="s">
        <v>1788</v>
      </c>
      <c r="G23" s="1503" t="s">
        <v>1718</v>
      </c>
      <c r="H23" s="484"/>
      <c r="I23" s="484"/>
      <c r="J23" s="207" t="s">
        <v>1789</v>
      </c>
      <c r="K23" s="470"/>
    </row>
    <row r="24" spans="1:31" ht="18.75" customHeight="1">
      <c r="D24" s="1499"/>
      <c r="E24" s="1524" t="s">
        <v>519</v>
      </c>
      <c r="F24" s="1510" t="s">
        <v>1790</v>
      </c>
      <c r="G24" s="1503" t="s">
        <v>1718</v>
      </c>
      <c r="H24" s="484"/>
      <c r="I24" s="484"/>
      <c r="J24" s="207"/>
      <c r="K24" s="470"/>
    </row>
    <row r="25" spans="1:31" ht="33.75" customHeight="1">
      <c r="D25" s="1499"/>
      <c r="E25" s="1524" t="s">
        <v>524</v>
      </c>
      <c r="F25" s="1510" t="s">
        <v>1791</v>
      </c>
      <c r="G25" s="1503" t="s">
        <v>1718</v>
      </c>
      <c r="H25" s="484"/>
      <c r="I25" s="484"/>
      <c r="J25" s="207"/>
      <c r="K25" s="470"/>
    </row>
    <row r="26" spans="1:31" ht="22.5" customHeight="1">
      <c r="D26" s="1499"/>
      <c r="E26" s="1524" t="s">
        <v>514</v>
      </c>
      <c r="F26" s="849" t="s">
        <v>1792</v>
      </c>
      <c r="G26" s="1503" t="s">
        <v>1718</v>
      </c>
      <c r="H26" s="484"/>
      <c r="I26" s="484"/>
      <c r="J26" s="207" t="s">
        <v>1793</v>
      </c>
      <c r="K26" s="470"/>
    </row>
    <row r="27" spans="1:31" ht="18.75" customHeight="1">
      <c r="D27" s="1499"/>
      <c r="E27" s="1535" t="s">
        <v>535</v>
      </c>
      <c r="F27" s="1510" t="s">
        <v>1794</v>
      </c>
      <c r="G27" s="1514" t="s">
        <v>1718</v>
      </c>
      <c r="H27" s="1536"/>
      <c r="I27" s="1536"/>
      <c r="J27" s="207"/>
      <c r="K27" s="470"/>
    </row>
    <row r="28" spans="1:31" ht="18.75" customHeight="1">
      <c r="D28" s="1499"/>
      <c r="E28" s="1535" t="s">
        <v>539</v>
      </c>
      <c r="F28" s="1510" t="s">
        <v>1795</v>
      </c>
      <c r="G28" s="1514" t="s">
        <v>1718</v>
      </c>
      <c r="H28" s="1536"/>
      <c r="I28" s="1536"/>
      <c r="J28" s="207"/>
      <c r="K28" s="470"/>
    </row>
    <row r="29" spans="1:31" ht="18.75" customHeight="1">
      <c r="D29" s="1499"/>
      <c r="E29" s="1535" t="s">
        <v>516</v>
      </c>
      <c r="F29" s="849" t="s">
        <v>1796</v>
      </c>
      <c r="G29" s="1514" t="s">
        <v>1718</v>
      </c>
      <c r="H29" s="1536"/>
      <c r="I29" s="1536"/>
      <c r="J29" s="207"/>
      <c r="K29" s="470"/>
    </row>
    <row r="30" spans="1:31" ht="18.75" customHeight="1">
      <c r="D30" s="1499"/>
      <c r="E30" s="1535" t="s">
        <v>530</v>
      </c>
      <c r="F30" s="849" t="s">
        <v>1797</v>
      </c>
      <c r="G30" s="1514" t="s">
        <v>1718</v>
      </c>
      <c r="H30" s="1536"/>
      <c r="I30" s="1536"/>
      <c r="J30" s="207"/>
      <c r="K30" s="470"/>
    </row>
    <row r="31" spans="1:31" ht="18.75" customHeight="1">
      <c r="D31" s="1499"/>
      <c r="E31" s="1535" t="s">
        <v>541</v>
      </c>
      <c r="F31" s="849" t="s">
        <v>1798</v>
      </c>
      <c r="G31" s="1514" t="s">
        <v>1718</v>
      </c>
      <c r="H31" s="1536"/>
      <c r="I31" s="1536"/>
      <c r="J31" s="207"/>
      <c r="K31" s="470"/>
    </row>
    <row r="32" spans="1:31" s="1759" customFormat="1" ht="22.5" customHeight="1">
      <c r="A32" s="880"/>
      <c r="C32" s="1497"/>
      <c r="D32" s="1499"/>
      <c r="E32" s="1535" t="s">
        <v>552</v>
      </c>
      <c r="F32" s="849" t="s">
        <v>1799</v>
      </c>
      <c r="G32" s="1504" t="s">
        <v>1718</v>
      </c>
      <c r="H32" s="506">
        <f>SUM(H33:H34)</f>
        <v>0</v>
      </c>
      <c r="I32" s="506">
        <f>SUM(I33:I34)</f>
        <v>0</v>
      </c>
      <c r="J32" s="207" t="s">
        <v>1800</v>
      </c>
      <c r="K32" s="470"/>
      <c r="L32" s="1497"/>
      <c r="M32" s="1497"/>
      <c r="R32" s="1497"/>
      <c r="U32" s="471"/>
      <c r="AA32" s="1493"/>
      <c r="AB32" s="1493"/>
      <c r="AC32" s="1493"/>
      <c r="AD32" s="1493"/>
      <c r="AE32" s="1493"/>
    </row>
    <row r="33" spans="1:31" s="1772" customFormat="1" ht="0.75" customHeight="1">
      <c r="A33" s="1043"/>
      <c r="D33" s="475"/>
      <c r="E33" s="709" t="str">
        <f>E32&amp;".0"</f>
        <v>2.8.0</v>
      </c>
      <c r="F33" s="884"/>
      <c r="G33" s="478"/>
      <c r="H33" s="885"/>
      <c r="I33" s="885"/>
      <c r="J33" s="886"/>
    </row>
    <row r="34" spans="1:31" s="1759" customFormat="1" ht="18.75" customHeight="1">
      <c r="A34" s="880"/>
      <c r="C34" s="1497"/>
      <c r="D34" s="1494"/>
      <c r="E34" s="497"/>
      <c r="F34" s="1526" t="s">
        <v>1738</v>
      </c>
      <c r="G34" s="499"/>
      <c r="H34" s="500"/>
      <c r="I34" s="500"/>
      <c r="J34" s="219" t="s">
        <v>1801</v>
      </c>
      <c r="K34" s="470"/>
      <c r="L34" s="1497"/>
      <c r="M34" s="1497"/>
      <c r="R34" s="1497"/>
      <c r="U34" s="471"/>
      <c r="AA34" s="1493"/>
      <c r="AB34" s="1493"/>
      <c r="AC34" s="1493"/>
      <c r="AD34" s="1493"/>
      <c r="AE34" s="1493"/>
    </row>
    <row r="35" spans="1:31" ht="56.25" customHeight="1">
      <c r="D35" s="1499"/>
      <c r="E35" s="1535" t="s">
        <v>560</v>
      </c>
      <c r="F35" s="849" t="s">
        <v>1802</v>
      </c>
      <c r="G35" s="1514" t="s">
        <v>1718</v>
      </c>
      <c r="H35" s="1536"/>
      <c r="I35" s="1536"/>
      <c r="J35" s="207" t="s">
        <v>1803</v>
      </c>
      <c r="K35" s="470"/>
    </row>
    <row r="36" spans="1:31" s="1759" customFormat="1" ht="22.5" customHeight="1">
      <c r="A36" s="882" t="s">
        <v>1739</v>
      </c>
      <c r="C36" s="1497"/>
      <c r="D36" s="1499"/>
      <c r="E36" s="1524" t="s">
        <v>90</v>
      </c>
      <c r="F36" s="621" t="s">
        <v>1804</v>
      </c>
      <c r="G36" s="1503" t="s">
        <v>1718</v>
      </c>
      <c r="H36" s="484"/>
      <c r="I36" s="484"/>
      <c r="J36" s="207" t="s">
        <v>612</v>
      </c>
      <c r="K36" s="470"/>
      <c r="L36" s="1497"/>
      <c r="M36" s="1497"/>
      <c r="R36" s="1497"/>
      <c r="U36" s="471"/>
      <c r="AA36" s="1493"/>
      <c r="AB36" s="1493"/>
      <c r="AC36" s="1493"/>
      <c r="AD36" s="1493"/>
      <c r="AE36" s="1493"/>
    </row>
    <row r="37" spans="1:31" s="1759" customFormat="1" ht="22.5" customHeight="1">
      <c r="A37" s="882"/>
      <c r="C37" s="1497"/>
      <c r="D37" s="1499"/>
      <c r="E37" s="1524" t="s">
        <v>318</v>
      </c>
      <c r="F37" s="849" t="s">
        <v>1805</v>
      </c>
      <c r="G37" s="1514"/>
      <c r="H37" s="484"/>
      <c r="I37" s="484"/>
      <c r="J37" s="207"/>
      <c r="K37" s="470"/>
      <c r="L37" s="1497"/>
      <c r="M37" s="1497"/>
      <c r="R37" s="1497"/>
      <c r="U37" s="471"/>
      <c r="AA37" s="1493"/>
      <c r="AB37" s="1493"/>
      <c r="AC37" s="1493"/>
      <c r="AD37" s="1493"/>
      <c r="AE37" s="1493"/>
    </row>
    <row r="38" spans="1:31" s="1759" customFormat="1" ht="18.75" customHeight="1">
      <c r="A38" s="880"/>
      <c r="C38" s="1497"/>
      <c r="D38" s="502"/>
      <c r="E38" s="1524" t="s">
        <v>91</v>
      </c>
      <c r="F38" s="621" t="s">
        <v>615</v>
      </c>
      <c r="G38" s="1503" t="s">
        <v>1718</v>
      </c>
      <c r="H38" s="484"/>
      <c r="I38" s="484"/>
      <c r="J38" s="207" t="s">
        <v>616</v>
      </c>
      <c r="K38" s="470"/>
      <c r="L38" s="1497"/>
      <c r="M38" s="1497"/>
      <c r="R38" s="1497"/>
      <c r="U38" s="471"/>
      <c r="AA38" s="1493"/>
      <c r="AB38" s="1493"/>
      <c r="AC38" s="1493"/>
      <c r="AD38" s="1493"/>
      <c r="AE38" s="1493"/>
    </row>
    <row r="39" spans="1:31" s="1759" customFormat="1" ht="22.5" customHeight="1">
      <c r="A39" s="880"/>
      <c r="C39" s="1497"/>
      <c r="D39" s="502"/>
      <c r="E39" s="1524" t="s">
        <v>613</v>
      </c>
      <c r="F39" s="849" t="s">
        <v>1806</v>
      </c>
      <c r="G39" s="1514" t="s">
        <v>1718</v>
      </c>
      <c r="H39" s="484"/>
      <c r="I39" s="484"/>
      <c r="J39" s="207" t="s">
        <v>1807</v>
      </c>
      <c r="K39" s="470"/>
      <c r="L39" s="1497"/>
      <c r="M39" s="1497"/>
      <c r="R39" s="1497"/>
      <c r="U39" s="471"/>
      <c r="AA39" s="1493"/>
      <c r="AB39" s="1493"/>
      <c r="AC39" s="1493"/>
      <c r="AD39" s="1493"/>
      <c r="AE39" s="1493"/>
    </row>
    <row r="40" spans="1:31" s="1759" customFormat="1" ht="22.5" customHeight="1">
      <c r="A40" s="880"/>
      <c r="C40" s="1497"/>
      <c r="D40" s="1499"/>
      <c r="E40" s="1524" t="s">
        <v>622</v>
      </c>
      <c r="F40" s="1510" t="s">
        <v>1808</v>
      </c>
      <c r="G40" s="1503" t="s">
        <v>1718</v>
      </c>
      <c r="H40" s="484"/>
      <c r="I40" s="484"/>
      <c r="J40" s="207" t="s">
        <v>625</v>
      </c>
      <c r="K40" s="470"/>
      <c r="L40" s="1497"/>
      <c r="M40" s="1497"/>
      <c r="R40" s="1497"/>
      <c r="U40" s="471"/>
      <c r="AA40" s="1493"/>
      <c r="AB40" s="1493"/>
      <c r="AC40" s="1493"/>
      <c r="AD40" s="1493"/>
      <c r="AE40" s="1493"/>
    </row>
    <row r="41" spans="1:31" s="1759" customFormat="1" ht="22.5" customHeight="1">
      <c r="A41" s="880"/>
      <c r="C41" s="1497"/>
      <c r="D41" s="1499"/>
      <c r="E41" s="1524" t="s">
        <v>628</v>
      </c>
      <c r="F41" s="1510" t="s">
        <v>1809</v>
      </c>
      <c r="G41" s="1503" t="s">
        <v>1718</v>
      </c>
      <c r="H41" s="484"/>
      <c r="I41" s="484"/>
      <c r="J41" s="207" t="s">
        <v>631</v>
      </c>
      <c r="K41" s="470"/>
      <c r="L41" s="1497"/>
      <c r="M41" s="1497"/>
      <c r="R41" s="1497"/>
      <c r="U41" s="471"/>
      <c r="AA41" s="1493"/>
      <c r="AB41" s="1493"/>
      <c r="AC41" s="1493"/>
      <c r="AD41" s="1493"/>
      <c r="AE41" s="1493"/>
    </row>
    <row r="42" spans="1:31" s="1759" customFormat="1" ht="22.5" customHeight="1">
      <c r="A42" s="880"/>
      <c r="C42" s="1497"/>
      <c r="D42" s="1499"/>
      <c r="E42" s="1524" t="s">
        <v>1810</v>
      </c>
      <c r="F42" s="1510" t="s">
        <v>1811</v>
      </c>
      <c r="G42" s="1503" t="s">
        <v>1718</v>
      </c>
      <c r="H42" s="484"/>
      <c r="I42" s="484"/>
      <c r="J42" s="207" t="s">
        <v>1812</v>
      </c>
      <c r="K42" s="470"/>
      <c r="L42" s="1497"/>
      <c r="M42" s="1497"/>
      <c r="R42" s="1497"/>
      <c r="U42" s="471"/>
      <c r="AA42" s="1493"/>
      <c r="AB42" s="1493"/>
      <c r="AC42" s="1493"/>
      <c r="AD42" s="1493"/>
      <c r="AE42" s="1493"/>
    </row>
    <row r="43" spans="1:31" s="1759" customFormat="1" ht="33.75" customHeight="1">
      <c r="A43" s="880"/>
      <c r="C43" s="1497" t="s">
        <v>1750</v>
      </c>
      <c r="D43" s="1499"/>
      <c r="E43" s="1524" t="s">
        <v>111</v>
      </c>
      <c r="F43" s="621" t="s">
        <v>638</v>
      </c>
      <c r="G43" s="1506" t="s">
        <v>1813</v>
      </c>
      <c r="H43" s="336"/>
      <c r="I43" s="336"/>
      <c r="J43" s="207" t="s">
        <v>1814</v>
      </c>
      <c r="K43" s="470"/>
      <c r="L43" s="1497"/>
      <c r="M43" s="1497"/>
      <c r="R43" s="1497"/>
      <c r="U43" s="471"/>
      <c r="AA43" s="1493"/>
      <c r="AB43" s="1493"/>
      <c r="AC43" s="1493"/>
      <c r="AD43" s="1493"/>
      <c r="AE43" s="1493"/>
    </row>
    <row r="44" spans="1:31" s="1759" customFormat="1" ht="22.5" customHeight="1">
      <c r="A44" s="880"/>
      <c r="C44" s="1497"/>
      <c r="D44" s="1499"/>
      <c r="E44" s="1524" t="s">
        <v>92</v>
      </c>
      <c r="F44" s="621" t="s">
        <v>1815</v>
      </c>
      <c r="G44" s="1503" t="s">
        <v>1816</v>
      </c>
      <c r="H44" s="472"/>
      <c r="I44" s="472"/>
      <c r="J44" s="207" t="s">
        <v>1817</v>
      </c>
      <c r="K44" s="470"/>
      <c r="L44" s="1497"/>
      <c r="M44" s="1497"/>
      <c r="R44" s="1497"/>
      <c r="U44" s="471"/>
      <c r="AA44" s="1493"/>
      <c r="AB44" s="1493"/>
      <c r="AC44" s="1493"/>
      <c r="AD44" s="1493"/>
      <c r="AE44" s="1493"/>
    </row>
    <row r="45" spans="1:31" s="1759" customFormat="1" ht="22.5" customHeight="1">
      <c r="A45" s="880"/>
      <c r="C45" s="1497"/>
      <c r="D45" s="1499"/>
      <c r="E45" s="1524" t="s">
        <v>93</v>
      </c>
      <c r="F45" s="621" t="s">
        <v>1818</v>
      </c>
      <c r="G45" s="1514" t="s">
        <v>1819</v>
      </c>
      <c r="H45" s="472"/>
      <c r="I45" s="472"/>
      <c r="J45" s="207" t="s">
        <v>1820</v>
      </c>
      <c r="K45" s="470"/>
      <c r="L45" s="1497"/>
      <c r="M45" s="1497"/>
      <c r="R45" s="1497"/>
      <c r="U45" s="471"/>
      <c r="AA45" s="1493"/>
      <c r="AB45" s="1493"/>
      <c r="AC45" s="1493"/>
      <c r="AD45" s="1493"/>
      <c r="AE45" s="1493"/>
    </row>
    <row r="46" spans="1:31" s="1759" customFormat="1" ht="18.75" customHeight="1">
      <c r="A46" s="880"/>
      <c r="C46" s="1497"/>
      <c r="D46" s="1499"/>
      <c r="E46" s="1524" t="s">
        <v>112</v>
      </c>
      <c r="F46" s="621" t="s">
        <v>1821</v>
      </c>
      <c r="G46" s="1503" t="s">
        <v>1752</v>
      </c>
      <c r="H46" s="504"/>
      <c r="I46" s="504"/>
      <c r="J46" s="207"/>
      <c r="K46" s="470"/>
      <c r="L46" s="1497"/>
      <c r="M46" s="1497"/>
      <c r="R46" s="1497"/>
      <c r="U46" s="471"/>
      <c r="AA46" s="1493"/>
      <c r="AB46" s="1493"/>
      <c r="AC46" s="1493"/>
      <c r="AD46" s="1493"/>
      <c r="AE46" s="1493"/>
    </row>
    <row r="47" spans="1:31" ht="11.25" customHeight="1">
      <c r="D47" s="1499"/>
    </row>
    <row r="48" spans="1:31" ht="26.25" customHeight="1">
      <c r="D48" s="1499"/>
      <c r="E48" s="1128"/>
      <c r="F48" s="2234"/>
      <c r="G48" s="2234"/>
      <c r="H48" s="2234"/>
      <c r="I48" s="2234"/>
      <c r="J48" s="2234"/>
    </row>
    <row r="49" spans="1:31" s="1720" customFormat="1" ht="37.5" customHeight="1">
      <c r="A49" s="880"/>
      <c r="B49" s="1497"/>
      <c r="C49" s="1497"/>
      <c r="D49" s="275"/>
      <c r="F49" s="2234"/>
      <c r="G49" s="2234"/>
      <c r="H49" s="2234"/>
      <c r="I49" s="2234"/>
      <c r="J49" s="2234"/>
      <c r="K49" s="1036"/>
      <c r="L49" s="1497"/>
      <c r="M49" s="1497"/>
      <c r="N49" s="1036"/>
      <c r="O49" s="1036"/>
      <c r="P49" s="1036"/>
      <c r="Q49" s="1036"/>
      <c r="R49" s="1497"/>
      <c r="S49" s="1036"/>
      <c r="T49" s="1036"/>
      <c r="U49" s="471"/>
      <c r="V49" s="1036"/>
      <c r="W49" s="1036"/>
      <c r="X49" s="1036"/>
      <c r="Y49" s="1036"/>
      <c r="Z49" s="1036"/>
      <c r="AA49" s="1493"/>
      <c r="AB49" s="493"/>
      <c r="AC49" s="493"/>
      <c r="AD49" s="493"/>
      <c r="AE49" s="493"/>
    </row>
    <row r="50" spans="1:31" s="1720" customFormat="1" ht="11.25" customHeight="1">
      <c r="A50" s="880"/>
      <c r="B50" s="1497"/>
      <c r="C50" s="1497"/>
      <c r="D50" s="275"/>
      <c r="K50" s="1036"/>
      <c r="L50" s="1497"/>
      <c r="M50" s="1497"/>
      <c r="N50" s="1036"/>
      <c r="O50" s="1036"/>
      <c r="P50" s="1036"/>
      <c r="Q50" s="1036"/>
      <c r="R50" s="1497"/>
      <c r="S50" s="1036"/>
      <c r="T50" s="1036"/>
      <c r="U50" s="471"/>
      <c r="V50" s="1036"/>
      <c r="W50" s="1036"/>
      <c r="X50" s="1036"/>
      <c r="Y50" s="1036"/>
      <c r="Z50" s="1036"/>
      <c r="AA50" s="1493"/>
      <c r="AB50" s="493"/>
      <c r="AC50" s="493"/>
      <c r="AD50" s="493"/>
      <c r="AE50" s="493"/>
    </row>
    <row r="51" spans="1:31" s="1720" customFormat="1" ht="11.25" customHeight="1">
      <c r="A51" s="880"/>
      <c r="B51" s="1497"/>
      <c r="C51" s="1497"/>
      <c r="D51" s="275"/>
      <c r="K51" s="1036"/>
      <c r="L51" s="1497"/>
      <c r="M51" s="1497"/>
      <c r="N51" s="1036"/>
      <c r="O51" s="1036"/>
      <c r="P51" s="1036"/>
      <c r="Q51" s="1036"/>
      <c r="R51" s="1497"/>
      <c r="S51" s="1036"/>
      <c r="T51" s="1036"/>
      <c r="U51" s="471"/>
      <c r="V51" s="1036"/>
      <c r="W51" s="1036"/>
      <c r="X51" s="1036"/>
      <c r="Y51" s="1036"/>
      <c r="Z51" s="1036"/>
      <c r="AA51" s="1493"/>
      <c r="AB51" s="493"/>
      <c r="AC51" s="493"/>
      <c r="AD51" s="493"/>
      <c r="AE51" s="493"/>
    </row>
    <row r="52" spans="1:31" s="1720" customFormat="1" ht="11.25" customHeight="1">
      <c r="A52" s="880"/>
      <c r="B52" s="1497"/>
      <c r="C52" s="1497"/>
      <c r="D52" s="275"/>
      <c r="H52" s="493"/>
      <c r="I52" s="493"/>
      <c r="K52" s="1036"/>
      <c r="L52" s="1497"/>
      <c r="M52" s="1497"/>
      <c r="N52" s="1036"/>
      <c r="O52" s="1036"/>
      <c r="P52" s="1036"/>
      <c r="Q52" s="1036"/>
      <c r="R52" s="1497"/>
      <c r="S52" s="1036"/>
      <c r="T52" s="1036"/>
      <c r="U52" s="471"/>
      <c r="V52" s="1036"/>
      <c r="W52" s="1036"/>
      <c r="X52" s="1036"/>
      <c r="Y52" s="1036"/>
      <c r="Z52" s="1036"/>
      <c r="AA52" s="1493"/>
      <c r="AB52" s="493"/>
      <c r="AC52" s="493"/>
      <c r="AD52" s="493"/>
      <c r="AE52" s="493"/>
    </row>
    <row r="53" spans="1:31" s="1720" customFormat="1" ht="11.25" customHeight="1">
      <c r="A53" s="880"/>
      <c r="B53" s="1497"/>
      <c r="C53" s="1497"/>
      <c r="D53" s="275"/>
      <c r="K53" s="1036"/>
      <c r="L53" s="1497"/>
      <c r="M53" s="1497"/>
      <c r="N53" s="1036"/>
      <c r="O53" s="1036"/>
      <c r="P53" s="1036"/>
      <c r="Q53" s="1036"/>
      <c r="R53" s="1497"/>
      <c r="S53" s="1036"/>
      <c r="T53" s="1036"/>
      <c r="U53" s="471"/>
      <c r="V53" s="1036"/>
      <c r="W53" s="1036"/>
      <c r="X53" s="1036"/>
      <c r="Y53" s="1036"/>
      <c r="Z53" s="1036"/>
      <c r="AA53" s="1493"/>
      <c r="AB53" s="493"/>
      <c r="AC53" s="493"/>
      <c r="AD53" s="493"/>
      <c r="AE53" s="493"/>
    </row>
    <row r="54" spans="1:31" s="1720" customFormat="1" ht="11.25" customHeight="1">
      <c r="A54" s="880"/>
      <c r="B54" s="1497"/>
      <c r="C54" s="1497"/>
      <c r="D54" s="275"/>
      <c r="K54" s="1036"/>
      <c r="L54" s="1497"/>
      <c r="M54" s="1497"/>
      <c r="N54" s="1036"/>
      <c r="O54" s="1036"/>
      <c r="P54" s="1036"/>
      <c r="Q54" s="1036"/>
      <c r="R54" s="1497"/>
      <c r="S54" s="1036"/>
      <c r="T54" s="1036"/>
      <c r="U54" s="471"/>
      <c r="V54" s="1036"/>
      <c r="W54" s="1036"/>
      <c r="X54" s="1036"/>
      <c r="Y54" s="1036"/>
      <c r="Z54" s="1036"/>
      <c r="AA54" s="1493"/>
      <c r="AB54" s="493"/>
      <c r="AC54" s="493"/>
      <c r="AD54" s="493"/>
      <c r="AE54" s="493"/>
    </row>
    <row r="55" spans="1:31" s="1720" customFormat="1" ht="11.25" customHeight="1">
      <c r="A55" s="880"/>
      <c r="B55" s="1497"/>
      <c r="C55" s="1497"/>
      <c r="D55" s="275"/>
      <c r="K55" s="1036"/>
      <c r="L55" s="1497"/>
      <c r="M55" s="1497"/>
      <c r="N55" s="1036"/>
      <c r="O55" s="1036"/>
      <c r="P55" s="1036"/>
      <c r="Q55" s="1036"/>
      <c r="R55" s="1497"/>
      <c r="S55" s="1036"/>
      <c r="T55" s="1036"/>
      <c r="U55" s="471"/>
      <c r="V55" s="1036"/>
      <c r="W55" s="1036"/>
      <c r="X55" s="1036"/>
      <c r="Y55" s="1036"/>
      <c r="Z55" s="1036"/>
      <c r="AA55" s="1493"/>
      <c r="AB55" s="493"/>
      <c r="AC55" s="493"/>
      <c r="AD55" s="493"/>
      <c r="AE55" s="493"/>
    </row>
    <row r="56" spans="1:31" s="1720" customFormat="1" ht="11.25" customHeight="1">
      <c r="A56" s="880"/>
      <c r="B56" s="1497"/>
      <c r="C56" s="1497"/>
      <c r="D56" s="275"/>
      <c r="K56" s="1036"/>
      <c r="L56" s="1497"/>
      <c r="M56" s="1497"/>
      <c r="N56" s="1036"/>
      <c r="O56" s="1036"/>
      <c r="P56" s="1036"/>
      <c r="Q56" s="1036"/>
      <c r="R56" s="1497"/>
      <c r="S56" s="1036"/>
      <c r="T56" s="1036"/>
      <c r="U56" s="471"/>
      <c r="V56" s="1036"/>
      <c r="W56" s="1036"/>
      <c r="X56" s="1036"/>
      <c r="Y56" s="1036"/>
      <c r="Z56" s="1036"/>
      <c r="AA56" s="1493"/>
      <c r="AB56" s="493"/>
      <c r="AC56" s="493"/>
      <c r="AD56" s="493"/>
      <c r="AE56" s="493"/>
    </row>
    <row r="57" spans="1:31" s="1720" customFormat="1" ht="11.25" customHeight="1">
      <c r="A57" s="880"/>
      <c r="B57" s="1497"/>
      <c r="C57" s="1497"/>
      <c r="D57" s="275"/>
      <c r="K57" s="1036"/>
      <c r="L57" s="1497"/>
      <c r="M57" s="1497"/>
      <c r="N57" s="1036"/>
      <c r="O57" s="1036"/>
      <c r="P57" s="1036"/>
      <c r="Q57" s="1036"/>
      <c r="R57" s="1497"/>
      <c r="S57" s="1036"/>
      <c r="T57" s="1036"/>
      <c r="U57" s="471"/>
      <c r="V57" s="1036"/>
      <c r="W57" s="1036"/>
      <c r="X57" s="1036"/>
      <c r="Y57" s="1036"/>
      <c r="Z57" s="1036"/>
      <c r="AA57" s="1493"/>
      <c r="AB57" s="493"/>
      <c r="AC57" s="493"/>
      <c r="AD57" s="493"/>
      <c r="AE57" s="493"/>
    </row>
    <row r="58" spans="1:31" s="1720" customFormat="1" ht="11.25" customHeight="1">
      <c r="A58" s="880"/>
      <c r="B58" s="1497"/>
      <c r="C58" s="1497"/>
      <c r="D58" s="275"/>
      <c r="K58" s="1036"/>
      <c r="L58" s="1497"/>
      <c r="M58" s="1497"/>
      <c r="N58" s="1036"/>
      <c r="O58" s="1036"/>
      <c r="P58" s="1036"/>
      <c r="Q58" s="1036"/>
      <c r="R58" s="1497"/>
      <c r="S58" s="1036"/>
      <c r="T58" s="1036"/>
      <c r="U58" s="471"/>
      <c r="V58" s="1036"/>
      <c r="W58" s="1036"/>
      <c r="X58" s="1036"/>
      <c r="Y58" s="1036"/>
      <c r="Z58" s="1036"/>
      <c r="AA58" s="1493"/>
      <c r="AB58" s="493"/>
      <c r="AC58" s="493"/>
      <c r="AD58" s="493"/>
      <c r="AE58" s="493"/>
    </row>
    <row r="59" spans="1:31" s="1720" customFormat="1" ht="11.25" customHeight="1">
      <c r="A59" s="880"/>
      <c r="B59" s="1497"/>
      <c r="C59" s="1497"/>
      <c r="D59" s="275"/>
      <c r="K59" s="1036"/>
      <c r="L59" s="1497"/>
      <c r="M59" s="1497"/>
      <c r="N59" s="1036"/>
      <c r="O59" s="1036"/>
      <c r="P59" s="1036"/>
      <c r="Q59" s="1036"/>
      <c r="R59" s="1497"/>
      <c r="S59" s="1036"/>
      <c r="T59" s="1036"/>
      <c r="U59" s="471"/>
      <c r="V59" s="1036"/>
      <c r="W59" s="1036"/>
      <c r="X59" s="1036"/>
      <c r="Y59" s="1036"/>
      <c r="Z59" s="1036"/>
      <c r="AA59" s="1493"/>
      <c r="AB59" s="493"/>
      <c r="AC59" s="493"/>
      <c r="AD59" s="493"/>
      <c r="AE59" s="493"/>
    </row>
    <row r="60" spans="1:31" s="1720" customFormat="1" ht="11.25" customHeight="1">
      <c r="A60" s="880"/>
      <c r="B60" s="1497"/>
      <c r="C60" s="1497"/>
      <c r="D60" s="275"/>
      <c r="K60" s="1036"/>
      <c r="L60" s="1497"/>
      <c r="M60" s="1497"/>
      <c r="N60" s="1036"/>
      <c r="O60" s="1036"/>
      <c r="P60" s="1036"/>
      <c r="Q60" s="1036"/>
      <c r="R60" s="1497"/>
      <c r="S60" s="1036"/>
      <c r="T60" s="1036"/>
      <c r="U60" s="471"/>
      <c r="V60" s="1036"/>
      <c r="W60" s="1036"/>
      <c r="X60" s="1036"/>
      <c r="Y60" s="1036"/>
      <c r="Z60" s="1036"/>
      <c r="AA60" s="1493"/>
      <c r="AB60" s="493"/>
      <c r="AC60" s="493"/>
      <c r="AD60" s="493"/>
      <c r="AE60" s="493"/>
    </row>
    <row r="61" spans="1:31" s="1720" customFormat="1" ht="11.25" customHeight="1">
      <c r="A61" s="880"/>
      <c r="B61" s="1497"/>
      <c r="C61" s="1497"/>
      <c r="D61" s="275"/>
      <c r="K61" s="1036"/>
      <c r="L61" s="1497"/>
      <c r="M61" s="1497"/>
      <c r="N61" s="1036"/>
      <c r="O61" s="1036"/>
      <c r="P61" s="1036"/>
      <c r="Q61" s="1036"/>
      <c r="R61" s="1497"/>
      <c r="S61" s="1036"/>
      <c r="T61" s="1036"/>
      <c r="U61" s="471"/>
      <c r="V61" s="1036"/>
      <c r="W61" s="1036"/>
      <c r="X61" s="1036"/>
      <c r="Y61" s="1036"/>
      <c r="Z61" s="1036"/>
      <c r="AA61" s="1493"/>
      <c r="AB61" s="493"/>
      <c r="AC61" s="493"/>
      <c r="AD61" s="493"/>
      <c r="AE61" s="493"/>
    </row>
    <row r="62" spans="1:31" s="1720" customFormat="1" ht="11.25" customHeight="1">
      <c r="A62" s="880"/>
      <c r="B62" s="1497"/>
      <c r="C62" s="1497"/>
      <c r="D62" s="275"/>
      <c r="K62" s="1036"/>
      <c r="L62" s="1497"/>
      <c r="M62" s="1497"/>
      <c r="N62" s="1036"/>
      <c r="O62" s="1036"/>
      <c r="P62" s="1036"/>
      <c r="Q62" s="1036"/>
      <c r="R62" s="1497"/>
      <c r="S62" s="1036"/>
      <c r="T62" s="1036"/>
      <c r="U62" s="471"/>
      <c r="V62" s="1036"/>
      <c r="W62" s="1036"/>
      <c r="X62" s="1036"/>
      <c r="Y62" s="1036"/>
      <c r="Z62" s="1036"/>
      <c r="AA62" s="1493"/>
      <c r="AB62" s="493"/>
      <c r="AC62" s="493"/>
      <c r="AD62" s="493"/>
      <c r="AE62" s="493"/>
    </row>
    <row r="63" spans="1:31" s="1720" customFormat="1" ht="11.25" customHeight="1">
      <c r="A63" s="880"/>
      <c r="B63" s="1497"/>
      <c r="C63" s="1497"/>
      <c r="D63" s="275"/>
      <c r="K63" s="1036"/>
      <c r="L63" s="1497"/>
      <c r="M63" s="1497"/>
      <c r="N63" s="1036"/>
      <c r="O63" s="1036"/>
      <c r="P63" s="1036"/>
      <c r="Q63" s="1036"/>
      <c r="R63" s="1497"/>
      <c r="S63" s="1036"/>
      <c r="T63" s="1036"/>
      <c r="U63" s="471"/>
      <c r="V63" s="1036"/>
      <c r="W63" s="1036"/>
      <c r="X63" s="1036"/>
      <c r="Y63" s="1036"/>
      <c r="Z63" s="1036"/>
      <c r="AA63" s="1493"/>
      <c r="AB63" s="493"/>
      <c r="AC63" s="493"/>
      <c r="AD63" s="493"/>
      <c r="AE63" s="493"/>
    </row>
    <row r="64" spans="1:31" s="1720" customFormat="1" ht="11.25" customHeight="1">
      <c r="A64" s="880"/>
      <c r="B64" s="1497"/>
      <c r="C64" s="1497"/>
      <c r="D64" s="275"/>
      <c r="K64" s="1036"/>
      <c r="L64" s="1497"/>
      <c r="M64" s="1497"/>
      <c r="N64" s="1036"/>
      <c r="O64" s="1036"/>
      <c r="P64" s="1036"/>
      <c r="Q64" s="1036"/>
      <c r="R64" s="1497"/>
      <c r="S64" s="1036"/>
      <c r="T64" s="1036"/>
      <c r="U64" s="471"/>
      <c r="V64" s="1036"/>
      <c r="W64" s="1036"/>
      <c r="X64" s="1036"/>
      <c r="Y64" s="1036"/>
      <c r="Z64" s="1036"/>
      <c r="AA64" s="1493"/>
      <c r="AB64" s="493"/>
      <c r="AC64" s="493"/>
      <c r="AD64" s="493"/>
      <c r="AE64" s="493"/>
    </row>
    <row r="65" spans="1:31" s="1720" customFormat="1" ht="11.25" customHeight="1">
      <c r="A65" s="880"/>
      <c r="B65" s="1497"/>
      <c r="C65" s="1497"/>
      <c r="D65" s="275"/>
      <c r="K65" s="1036"/>
      <c r="L65" s="1497"/>
      <c r="M65" s="1497"/>
      <c r="N65" s="1036"/>
      <c r="O65" s="1036"/>
      <c r="P65" s="1036"/>
      <c r="Q65" s="1036"/>
      <c r="R65" s="1497"/>
      <c r="S65" s="1036"/>
      <c r="T65" s="1036"/>
      <c r="U65" s="471"/>
      <c r="V65" s="1036"/>
      <c r="W65" s="1036"/>
      <c r="X65" s="1036"/>
      <c r="Y65" s="1036"/>
      <c r="Z65" s="1036"/>
      <c r="AA65" s="1493"/>
      <c r="AB65" s="493"/>
      <c r="AC65" s="493"/>
      <c r="AD65" s="493"/>
      <c r="AE65" s="493"/>
    </row>
    <row r="66" spans="1:31" s="1720" customFormat="1" ht="11.25" customHeight="1">
      <c r="A66" s="880"/>
      <c r="B66" s="1497"/>
      <c r="C66" s="1497"/>
      <c r="D66" s="275"/>
      <c r="K66" s="1036"/>
      <c r="L66" s="1497"/>
      <c r="M66" s="1497"/>
      <c r="N66" s="1036"/>
      <c r="O66" s="1036"/>
      <c r="P66" s="1036"/>
      <c r="Q66" s="1036"/>
      <c r="R66" s="1497"/>
      <c r="S66" s="1036"/>
      <c r="T66" s="1036"/>
      <c r="U66" s="471"/>
      <c r="V66" s="1036"/>
      <c r="W66" s="1036"/>
      <c r="X66" s="1036"/>
      <c r="Y66" s="1036"/>
      <c r="Z66" s="1036"/>
      <c r="AA66" s="1493"/>
      <c r="AB66" s="493"/>
      <c r="AC66" s="493"/>
      <c r="AD66" s="493"/>
      <c r="AE66" s="493"/>
    </row>
    <row r="67" spans="1:31" s="1720" customFormat="1" ht="11.25" customHeight="1">
      <c r="A67" s="880"/>
      <c r="B67" s="1497"/>
      <c r="C67" s="1497"/>
      <c r="D67" s="275"/>
      <c r="K67" s="1036"/>
      <c r="L67" s="1497"/>
      <c r="M67" s="1497"/>
      <c r="N67" s="1036"/>
      <c r="O67" s="1036"/>
      <c r="P67" s="1036"/>
      <c r="Q67" s="1036"/>
      <c r="R67" s="1497"/>
      <c r="S67" s="1036"/>
      <c r="T67" s="1036"/>
      <c r="U67" s="471"/>
      <c r="V67" s="1036"/>
      <c r="W67" s="1036"/>
      <c r="X67" s="1036"/>
      <c r="Y67" s="1036"/>
      <c r="Z67" s="1036"/>
      <c r="AA67" s="1493"/>
      <c r="AB67" s="493"/>
      <c r="AC67" s="493"/>
      <c r="AD67" s="493"/>
      <c r="AE67" s="493"/>
    </row>
    <row r="68" spans="1:31" s="1720" customFormat="1" ht="11.25" customHeight="1">
      <c r="A68" s="880"/>
      <c r="B68" s="1497"/>
      <c r="C68" s="1497"/>
      <c r="D68" s="275"/>
      <c r="K68" s="1036"/>
      <c r="L68" s="1497"/>
      <c r="M68" s="1497"/>
      <c r="N68" s="1036"/>
      <c r="O68" s="1036"/>
      <c r="P68" s="1036"/>
      <c r="Q68" s="1036"/>
      <c r="R68" s="1497"/>
      <c r="S68" s="1036"/>
      <c r="T68" s="1036"/>
      <c r="U68" s="471"/>
      <c r="V68" s="1036"/>
      <c r="W68" s="1036"/>
      <c r="X68" s="1036"/>
      <c r="Y68" s="1036"/>
      <c r="Z68" s="1036"/>
      <c r="AA68" s="1493"/>
      <c r="AB68" s="493"/>
      <c r="AC68" s="493"/>
      <c r="AD68" s="493"/>
      <c r="AE68" s="493"/>
    </row>
    <row r="69" spans="1:31" s="1720" customFormat="1" ht="11.25" customHeight="1">
      <c r="A69" s="880"/>
      <c r="B69" s="1497"/>
      <c r="C69" s="1497"/>
      <c r="D69" s="275"/>
      <c r="K69" s="1036"/>
      <c r="L69" s="1497"/>
      <c r="M69" s="1497"/>
      <c r="N69" s="1036"/>
      <c r="O69" s="1036"/>
      <c r="P69" s="1036"/>
      <c r="Q69" s="1036"/>
      <c r="R69" s="1497"/>
      <c r="S69" s="1036"/>
      <c r="T69" s="1036"/>
      <c r="U69" s="471"/>
      <c r="V69" s="1036"/>
      <c r="W69" s="1036"/>
      <c r="X69" s="1036"/>
      <c r="Y69" s="1036"/>
      <c r="Z69" s="1036"/>
      <c r="AA69" s="1493"/>
      <c r="AB69" s="493"/>
      <c r="AC69" s="493"/>
      <c r="AD69" s="493"/>
      <c r="AE69" s="493"/>
    </row>
    <row r="70" spans="1:31" s="1720" customFormat="1" ht="11.25" customHeight="1">
      <c r="A70" s="880"/>
      <c r="B70" s="1497"/>
      <c r="C70" s="1497"/>
      <c r="D70" s="275"/>
      <c r="K70" s="1036"/>
      <c r="L70" s="1497"/>
      <c r="M70" s="1497"/>
      <c r="N70" s="1036"/>
      <c r="O70" s="1036"/>
      <c r="P70" s="1036"/>
      <c r="Q70" s="1036"/>
      <c r="R70" s="1497"/>
      <c r="S70" s="1036"/>
      <c r="T70" s="1036"/>
      <c r="U70" s="471"/>
      <c r="V70" s="1036"/>
      <c r="W70" s="1036"/>
      <c r="X70" s="1036"/>
      <c r="Y70" s="1036"/>
      <c r="Z70" s="1036"/>
      <c r="AA70" s="1493"/>
      <c r="AB70" s="493"/>
      <c r="AC70" s="493"/>
      <c r="AD70" s="493"/>
      <c r="AE70" s="493"/>
    </row>
    <row r="71" spans="1:31" s="1720" customFormat="1" ht="11.25" customHeight="1">
      <c r="A71" s="880"/>
      <c r="B71" s="1497"/>
      <c r="C71" s="1497"/>
      <c r="D71" s="275"/>
      <c r="K71" s="1036"/>
      <c r="L71" s="1497"/>
      <c r="M71" s="1497"/>
      <c r="N71" s="1036"/>
      <c r="O71" s="1036"/>
      <c r="P71" s="1036"/>
      <c r="Q71" s="1036"/>
      <c r="R71" s="1497"/>
      <c r="S71" s="1036"/>
      <c r="T71" s="1036"/>
      <c r="U71" s="471"/>
      <c r="V71" s="1036"/>
      <c r="W71" s="1036"/>
      <c r="X71" s="1036"/>
      <c r="Y71" s="1036"/>
      <c r="Z71" s="1036"/>
      <c r="AA71" s="1493"/>
      <c r="AB71" s="493"/>
      <c r="AC71" s="493"/>
      <c r="AD71" s="493"/>
      <c r="AE71" s="493"/>
    </row>
    <row r="72" spans="1:31" s="1720" customFormat="1" ht="11.25" customHeight="1">
      <c r="A72" s="880"/>
      <c r="B72" s="1497"/>
      <c r="C72" s="1497"/>
      <c r="D72" s="275"/>
      <c r="K72" s="1036"/>
      <c r="L72" s="1497"/>
      <c r="M72" s="1497"/>
      <c r="N72" s="1036"/>
      <c r="O72" s="1036"/>
      <c r="P72" s="1036"/>
      <c r="Q72" s="1036"/>
      <c r="R72" s="1497"/>
      <c r="S72" s="1036"/>
      <c r="T72" s="1036"/>
      <c r="U72" s="471"/>
      <c r="V72" s="1036"/>
      <c r="W72" s="1036"/>
      <c r="X72" s="1036"/>
      <c r="Y72" s="1036"/>
      <c r="Z72" s="1036"/>
      <c r="AA72" s="1493"/>
      <c r="AB72" s="493"/>
      <c r="AC72" s="493"/>
      <c r="AD72" s="493"/>
      <c r="AE72" s="493"/>
    </row>
    <row r="73" spans="1:31" s="1720" customFormat="1" ht="11.25" customHeight="1">
      <c r="A73" s="880"/>
      <c r="B73" s="1497"/>
      <c r="C73" s="1497"/>
      <c r="D73" s="275"/>
      <c r="K73" s="1036"/>
      <c r="L73" s="1497"/>
      <c r="M73" s="1497"/>
      <c r="N73" s="1036"/>
      <c r="O73" s="1036"/>
      <c r="P73" s="1036"/>
      <c r="Q73" s="1036"/>
      <c r="R73" s="1497"/>
      <c r="S73" s="1036"/>
      <c r="T73" s="1036"/>
      <c r="U73" s="471"/>
      <c r="V73" s="1036"/>
      <c r="W73" s="1036"/>
      <c r="X73" s="1036"/>
      <c r="Y73" s="1036"/>
      <c r="Z73" s="1036"/>
      <c r="AA73" s="1493"/>
      <c r="AB73" s="493"/>
      <c r="AC73" s="493"/>
      <c r="AD73" s="493"/>
      <c r="AE73" s="493"/>
    </row>
    <row r="74" spans="1:31" s="1720" customFormat="1" ht="11.25" customHeight="1">
      <c r="A74" s="880"/>
      <c r="B74" s="1497"/>
      <c r="C74" s="1497"/>
      <c r="D74" s="275"/>
      <c r="K74" s="1036"/>
      <c r="L74" s="1497"/>
      <c r="M74" s="1497"/>
      <c r="N74" s="1036"/>
      <c r="O74" s="1036"/>
      <c r="P74" s="1036"/>
      <c r="Q74" s="1036"/>
      <c r="R74" s="1497"/>
      <c r="S74" s="1036"/>
      <c r="T74" s="1036"/>
      <c r="U74" s="471"/>
      <c r="V74" s="1036"/>
      <c r="W74" s="1036"/>
      <c r="X74" s="1036"/>
      <c r="Y74" s="1036"/>
      <c r="Z74" s="1036"/>
      <c r="AA74" s="1493"/>
      <c r="AB74" s="493"/>
      <c r="AC74" s="493"/>
      <c r="AD74" s="493"/>
      <c r="AE74" s="493"/>
    </row>
    <row r="75" spans="1:31" s="1720" customFormat="1" ht="11.25" customHeight="1">
      <c r="A75" s="880"/>
      <c r="B75" s="1497"/>
      <c r="C75" s="1497"/>
      <c r="D75" s="275"/>
      <c r="K75" s="1036"/>
      <c r="L75" s="1497"/>
      <c r="M75" s="1497"/>
      <c r="N75" s="1036"/>
      <c r="O75" s="1036"/>
      <c r="P75" s="1036"/>
      <c r="Q75" s="1036"/>
      <c r="R75" s="1497"/>
      <c r="S75" s="1036"/>
      <c r="T75" s="1036"/>
      <c r="U75" s="471"/>
      <c r="V75" s="1036"/>
      <c r="W75" s="1036"/>
      <c r="X75" s="1036"/>
      <c r="Y75" s="1036"/>
      <c r="Z75" s="1036"/>
      <c r="AA75" s="1493"/>
      <c r="AB75" s="493"/>
      <c r="AC75" s="493"/>
      <c r="AD75" s="493"/>
      <c r="AE75" s="493"/>
    </row>
    <row r="76" spans="1:31" s="1720" customFormat="1" ht="11.25" customHeight="1">
      <c r="A76" s="880"/>
      <c r="B76" s="1497"/>
      <c r="C76" s="1497"/>
      <c r="D76" s="275"/>
      <c r="K76" s="1036"/>
      <c r="L76" s="1497"/>
      <c r="M76" s="1497"/>
      <c r="N76" s="1036"/>
      <c r="O76" s="1036"/>
      <c r="P76" s="1036"/>
      <c r="Q76" s="1036"/>
      <c r="R76" s="1497"/>
      <c r="S76" s="1036"/>
      <c r="T76" s="1036"/>
      <c r="U76" s="471"/>
      <c r="V76" s="1036"/>
      <c r="W76" s="1036"/>
      <c r="X76" s="1036"/>
      <c r="Y76" s="1036"/>
      <c r="Z76" s="1036"/>
      <c r="AA76" s="1493"/>
      <c r="AB76" s="493"/>
      <c r="AC76" s="493"/>
      <c r="AD76" s="493"/>
      <c r="AE76" s="493"/>
    </row>
    <row r="77" spans="1:31" s="1720" customFormat="1" ht="11.25" customHeight="1">
      <c r="A77" s="880"/>
      <c r="B77" s="1497"/>
      <c r="C77" s="1497"/>
      <c r="D77" s="275"/>
      <c r="K77" s="1036"/>
      <c r="L77" s="1497"/>
      <c r="M77" s="1497"/>
      <c r="N77" s="1036"/>
      <c r="O77" s="1036"/>
      <c r="P77" s="1036"/>
      <c r="Q77" s="1036"/>
      <c r="R77" s="1497"/>
      <c r="S77" s="1036"/>
      <c r="T77" s="1036"/>
      <c r="U77" s="471"/>
      <c r="V77" s="1036"/>
      <c r="W77" s="1036"/>
      <c r="X77" s="1036"/>
      <c r="Y77" s="1036"/>
      <c r="Z77" s="1036"/>
      <c r="AA77" s="1493"/>
      <c r="AB77" s="493"/>
      <c r="AC77" s="493"/>
      <c r="AD77" s="493"/>
      <c r="AE77" s="493"/>
    </row>
    <row r="78" spans="1:31" s="1720" customFormat="1" ht="11.25" customHeight="1">
      <c r="A78" s="880"/>
      <c r="B78" s="1497"/>
      <c r="C78" s="1497"/>
      <c r="D78" s="275"/>
      <c r="K78" s="1036"/>
      <c r="L78" s="1497"/>
      <c r="M78" s="1497"/>
      <c r="N78" s="1036"/>
      <c r="O78" s="1036"/>
      <c r="P78" s="1036"/>
      <c r="Q78" s="1036"/>
      <c r="R78" s="1497"/>
      <c r="S78" s="1036"/>
      <c r="T78" s="1036"/>
      <c r="U78" s="471"/>
      <c r="V78" s="1036"/>
      <c r="W78" s="1036"/>
      <c r="X78" s="1036"/>
      <c r="Y78" s="1036"/>
      <c r="Z78" s="1036"/>
      <c r="AA78" s="1493"/>
      <c r="AB78" s="493"/>
      <c r="AC78" s="493"/>
      <c r="AD78" s="493"/>
      <c r="AE78" s="493"/>
    </row>
    <row r="79" spans="1:31" s="1720" customFormat="1" ht="11.25" customHeight="1">
      <c r="A79" s="880"/>
      <c r="B79" s="1497"/>
      <c r="C79" s="1497"/>
      <c r="D79" s="275"/>
      <c r="K79" s="1036"/>
      <c r="L79" s="1497"/>
      <c r="M79" s="1497"/>
      <c r="N79" s="1036"/>
      <c r="O79" s="1036"/>
      <c r="P79" s="1036"/>
      <c r="Q79" s="1036"/>
      <c r="R79" s="1497"/>
      <c r="S79" s="1036"/>
      <c r="T79" s="1036"/>
      <c r="U79" s="471"/>
      <c r="V79" s="1036"/>
      <c r="W79" s="1036"/>
      <c r="X79" s="1036"/>
      <c r="Y79" s="1036"/>
      <c r="Z79" s="1036"/>
      <c r="AA79" s="1493"/>
      <c r="AB79" s="493"/>
      <c r="AC79" s="493"/>
      <c r="AD79" s="493"/>
      <c r="AE79" s="493"/>
    </row>
    <row r="80" spans="1:31" s="1720" customFormat="1" ht="11.25" customHeight="1">
      <c r="A80" s="880"/>
      <c r="B80" s="1497"/>
      <c r="C80" s="1497"/>
      <c r="D80" s="275"/>
      <c r="K80" s="1036"/>
      <c r="L80" s="1497"/>
      <c r="M80" s="1497"/>
      <c r="N80" s="1036"/>
      <c r="O80" s="1036"/>
      <c r="P80" s="1036"/>
      <c r="Q80" s="1036"/>
      <c r="R80" s="1497"/>
      <c r="S80" s="1036"/>
      <c r="T80" s="1036"/>
      <c r="U80" s="471"/>
      <c r="V80" s="1036"/>
      <c r="W80" s="1036"/>
      <c r="X80" s="1036"/>
      <c r="Y80" s="1036"/>
      <c r="Z80" s="1036"/>
      <c r="AA80" s="1493"/>
      <c r="AB80" s="493"/>
      <c r="AC80" s="493"/>
      <c r="AD80" s="493"/>
      <c r="AE80" s="493"/>
    </row>
    <row r="81" spans="1:31" s="1720" customFormat="1" ht="11.25" customHeight="1">
      <c r="A81" s="880"/>
      <c r="B81" s="1497"/>
      <c r="C81" s="1497"/>
      <c r="D81" s="275"/>
      <c r="K81" s="1036"/>
      <c r="L81" s="1497"/>
      <c r="M81" s="1497"/>
      <c r="N81" s="1036"/>
      <c r="O81" s="1036"/>
      <c r="P81" s="1036"/>
      <c r="Q81" s="1036"/>
      <c r="R81" s="1497"/>
      <c r="S81" s="1036"/>
      <c r="T81" s="1036"/>
      <c r="U81" s="471"/>
      <c r="V81" s="1036"/>
      <c r="W81" s="1036"/>
      <c r="X81" s="1036"/>
      <c r="Y81" s="1036"/>
      <c r="Z81" s="1036"/>
      <c r="AA81" s="1493"/>
      <c r="AB81" s="493"/>
      <c r="AC81" s="493"/>
      <c r="AD81" s="493"/>
      <c r="AE81" s="493"/>
    </row>
    <row r="82" spans="1:31" s="1720" customFormat="1" ht="11.25" customHeight="1">
      <c r="A82" s="880"/>
      <c r="B82" s="1497"/>
      <c r="C82" s="1497"/>
      <c r="D82" s="275"/>
      <c r="K82" s="1036"/>
      <c r="L82" s="1497"/>
      <c r="M82" s="1497"/>
      <c r="N82" s="1036"/>
      <c r="O82" s="1036"/>
      <c r="P82" s="1036"/>
      <c r="Q82" s="1036"/>
      <c r="R82" s="1497"/>
      <c r="S82" s="1036"/>
      <c r="T82" s="1036"/>
      <c r="U82" s="471"/>
      <c r="V82" s="1036"/>
      <c r="W82" s="1036"/>
      <c r="X82" s="1036"/>
      <c r="Y82" s="1036"/>
      <c r="Z82" s="1036"/>
      <c r="AA82" s="1493"/>
      <c r="AB82" s="493"/>
      <c r="AC82" s="493"/>
      <c r="AD82" s="493"/>
      <c r="AE82" s="493"/>
    </row>
    <row r="83" spans="1:31" s="1720" customFormat="1" ht="11.25" customHeight="1">
      <c r="A83" s="880"/>
      <c r="B83" s="1497"/>
      <c r="C83" s="1497"/>
      <c r="D83" s="275"/>
      <c r="K83" s="1036"/>
      <c r="L83" s="1497"/>
      <c r="M83" s="1497"/>
      <c r="N83" s="1036"/>
      <c r="O83" s="1036"/>
      <c r="P83" s="1036"/>
      <c r="Q83" s="1036"/>
      <c r="R83" s="1497"/>
      <c r="S83" s="1036"/>
      <c r="T83" s="1036"/>
      <c r="U83" s="471"/>
      <c r="V83" s="1036"/>
      <c r="W83" s="1036"/>
      <c r="X83" s="1036"/>
      <c r="Y83" s="1036"/>
      <c r="Z83" s="1036"/>
      <c r="AA83" s="1493"/>
      <c r="AB83" s="493"/>
      <c r="AC83" s="493"/>
      <c r="AD83" s="493"/>
      <c r="AE83" s="493"/>
    </row>
    <row r="84" spans="1:31" s="1720" customFormat="1" ht="11.25" customHeight="1">
      <c r="A84" s="880"/>
      <c r="B84" s="1497"/>
      <c r="C84" s="1497"/>
      <c r="D84" s="275"/>
      <c r="K84" s="1036"/>
      <c r="L84" s="1497"/>
      <c r="M84" s="1497"/>
      <c r="N84" s="1036"/>
      <c r="O84" s="1036"/>
      <c r="P84" s="1036"/>
      <c r="Q84" s="1036"/>
      <c r="R84" s="1497"/>
      <c r="S84" s="1036"/>
      <c r="T84" s="1036"/>
      <c r="U84" s="471"/>
      <c r="V84" s="1036"/>
      <c r="W84" s="1036"/>
      <c r="X84" s="1036"/>
      <c r="Y84" s="1036"/>
      <c r="Z84" s="1036"/>
      <c r="AA84" s="1493"/>
      <c r="AB84" s="493"/>
      <c r="AC84" s="493"/>
      <c r="AD84" s="493"/>
      <c r="AE84" s="493"/>
    </row>
    <row r="85" spans="1:31" s="1720" customFormat="1" ht="11.25" customHeight="1">
      <c r="A85" s="880"/>
      <c r="B85" s="1497"/>
      <c r="C85" s="1497"/>
      <c r="D85" s="275"/>
      <c r="K85" s="1036"/>
      <c r="L85" s="1497"/>
      <c r="M85" s="1497"/>
      <c r="N85" s="1036"/>
      <c r="O85" s="1036"/>
      <c r="P85" s="1036"/>
      <c r="Q85" s="1036"/>
      <c r="R85" s="1497"/>
      <c r="S85" s="1036"/>
      <c r="T85" s="1036"/>
      <c r="U85" s="471"/>
      <c r="V85" s="1036"/>
      <c r="W85" s="1036"/>
      <c r="X85" s="1036"/>
      <c r="Y85" s="1036"/>
      <c r="Z85" s="1036"/>
      <c r="AA85" s="1493"/>
      <c r="AB85" s="493"/>
      <c r="AC85" s="493"/>
      <c r="AD85" s="493"/>
      <c r="AE85" s="493"/>
    </row>
    <row r="86" spans="1:31" s="1720" customFormat="1" ht="11.25" customHeight="1">
      <c r="A86" s="880"/>
      <c r="B86" s="1497"/>
      <c r="C86" s="1497"/>
      <c r="D86" s="275"/>
      <c r="K86" s="1036"/>
      <c r="L86" s="1497"/>
      <c r="M86" s="1497"/>
      <c r="N86" s="1036"/>
      <c r="O86" s="1036"/>
      <c r="P86" s="1036"/>
      <c r="Q86" s="1036"/>
      <c r="R86" s="1497"/>
      <c r="S86" s="1036"/>
      <c r="T86" s="1036"/>
      <c r="U86" s="471"/>
      <c r="V86" s="1036"/>
      <c r="W86" s="1036"/>
      <c r="X86" s="1036"/>
      <c r="Y86" s="1036"/>
      <c r="Z86" s="1036"/>
      <c r="AA86" s="1493"/>
      <c r="AB86" s="493"/>
      <c r="AC86" s="493"/>
      <c r="AD86" s="493"/>
      <c r="AE86" s="493"/>
    </row>
    <row r="87" spans="1:31" s="1720" customFormat="1" ht="11.25" customHeight="1">
      <c r="A87" s="880"/>
      <c r="B87" s="1497"/>
      <c r="C87" s="1497"/>
      <c r="D87" s="275"/>
      <c r="K87" s="1036"/>
      <c r="L87" s="1497"/>
      <c r="M87" s="1497"/>
      <c r="N87" s="1036"/>
      <c r="O87" s="1036"/>
      <c r="P87" s="1036"/>
      <c r="Q87" s="1036"/>
      <c r="R87" s="1497"/>
      <c r="S87" s="1036"/>
      <c r="T87" s="1036"/>
      <c r="U87" s="471"/>
      <c r="V87" s="1036"/>
      <c r="W87" s="1036"/>
      <c r="X87" s="1036"/>
      <c r="Y87" s="1036"/>
      <c r="Z87" s="1036"/>
      <c r="AA87" s="1493"/>
      <c r="AB87" s="493"/>
      <c r="AC87" s="493"/>
      <c r="AD87" s="493"/>
      <c r="AE87" s="493"/>
    </row>
    <row r="88" spans="1:31" s="1720" customFormat="1" ht="11.25" customHeight="1">
      <c r="A88" s="880"/>
      <c r="B88" s="1497"/>
      <c r="C88" s="1497"/>
      <c r="D88" s="275"/>
      <c r="K88" s="1036"/>
      <c r="L88" s="1497"/>
      <c r="M88" s="1497"/>
      <c r="N88" s="1036"/>
      <c r="O88" s="1036"/>
      <c r="P88" s="1036"/>
      <c r="Q88" s="1036"/>
      <c r="R88" s="1497"/>
      <c r="S88" s="1036"/>
      <c r="T88" s="1036"/>
      <c r="U88" s="471"/>
      <c r="V88" s="1036"/>
      <c r="W88" s="1036"/>
      <c r="X88" s="1036"/>
      <c r="Y88" s="1036"/>
      <c r="Z88" s="1036"/>
      <c r="AA88" s="1493"/>
      <c r="AB88" s="493"/>
      <c r="AC88" s="493"/>
      <c r="AD88" s="493"/>
      <c r="AE88" s="493"/>
    </row>
    <row r="89" spans="1:31" s="1720" customFormat="1" ht="11.25" customHeight="1">
      <c r="A89" s="880"/>
      <c r="B89" s="1497"/>
      <c r="C89" s="1497"/>
      <c r="D89" s="275"/>
      <c r="K89" s="1036"/>
      <c r="L89" s="1497"/>
      <c r="M89" s="1497"/>
      <c r="N89" s="1036"/>
      <c r="O89" s="1036"/>
      <c r="P89" s="1036"/>
      <c r="Q89" s="1036"/>
      <c r="R89" s="1497"/>
      <c r="S89" s="1036"/>
      <c r="T89" s="1036"/>
      <c r="U89" s="471"/>
      <c r="V89" s="1036"/>
      <c r="W89" s="1036"/>
      <c r="X89" s="1036"/>
      <c r="Y89" s="1036"/>
      <c r="Z89" s="1036"/>
      <c r="AA89" s="1493"/>
      <c r="AB89" s="493"/>
      <c r="AC89" s="493"/>
      <c r="AD89" s="493"/>
      <c r="AE89" s="493"/>
    </row>
    <row r="90" spans="1:31" s="1720" customFormat="1" ht="11.25" customHeight="1">
      <c r="A90" s="880"/>
      <c r="B90" s="1497"/>
      <c r="C90" s="1497"/>
      <c r="D90" s="275"/>
      <c r="K90" s="1036"/>
      <c r="L90" s="1497"/>
      <c r="M90" s="1497"/>
      <c r="N90" s="1036"/>
      <c r="O90" s="1036"/>
      <c r="P90" s="1036"/>
      <c r="Q90" s="1036"/>
      <c r="R90" s="1497"/>
      <c r="S90" s="1036"/>
      <c r="T90" s="1036"/>
      <c r="U90" s="471"/>
      <c r="V90" s="1036"/>
      <c r="W90" s="1036"/>
      <c r="X90" s="1036"/>
      <c r="Y90" s="1036"/>
      <c r="Z90" s="1036"/>
      <c r="AA90" s="1493"/>
      <c r="AB90" s="493"/>
      <c r="AC90" s="493"/>
      <c r="AD90" s="493"/>
      <c r="AE90" s="493"/>
    </row>
    <row r="91" spans="1:31" s="1720" customFormat="1" ht="11.25" customHeight="1">
      <c r="A91" s="880"/>
      <c r="B91" s="1497"/>
      <c r="C91" s="1497"/>
      <c r="D91" s="275"/>
      <c r="K91" s="1036"/>
      <c r="L91" s="1497"/>
      <c r="M91" s="1497"/>
      <c r="N91" s="1036"/>
      <c r="O91" s="1036"/>
      <c r="P91" s="1036"/>
      <c r="Q91" s="1036"/>
      <c r="R91" s="1497"/>
      <c r="S91" s="1036"/>
      <c r="T91" s="1036"/>
      <c r="U91" s="471"/>
      <c r="V91" s="1036"/>
      <c r="W91" s="1036"/>
      <c r="X91" s="1036"/>
      <c r="Y91" s="1036"/>
      <c r="Z91" s="1036"/>
      <c r="AA91" s="1493"/>
      <c r="AB91" s="493"/>
      <c r="AC91" s="493"/>
      <c r="AD91" s="493"/>
      <c r="AE91" s="493"/>
    </row>
    <row r="92" spans="1:31" s="1720" customFormat="1" ht="11.25" customHeight="1">
      <c r="A92" s="880"/>
      <c r="B92" s="1497"/>
      <c r="C92" s="1497"/>
      <c r="D92" s="275"/>
      <c r="K92" s="1036"/>
      <c r="L92" s="1497"/>
      <c r="M92" s="1497"/>
      <c r="N92" s="1036"/>
      <c r="O92" s="1036"/>
      <c r="P92" s="1036"/>
      <c r="Q92" s="1036"/>
      <c r="R92" s="1497"/>
      <c r="S92" s="1036"/>
      <c r="T92" s="1036"/>
      <c r="U92" s="471"/>
      <c r="V92" s="1036"/>
      <c r="W92" s="1036"/>
      <c r="X92" s="1036"/>
      <c r="Y92" s="1036"/>
      <c r="Z92" s="1036"/>
      <c r="AA92" s="1493"/>
      <c r="AB92" s="493"/>
      <c r="AC92" s="493"/>
      <c r="AD92" s="493"/>
      <c r="AE92" s="493"/>
    </row>
    <row r="93" spans="1:31" s="1720" customFormat="1" ht="11.25" customHeight="1">
      <c r="A93" s="880"/>
      <c r="B93" s="1497"/>
      <c r="C93" s="1497"/>
      <c r="D93" s="275"/>
      <c r="K93" s="1036"/>
      <c r="L93" s="1497"/>
      <c r="M93" s="1497"/>
      <c r="N93" s="1036"/>
      <c r="O93" s="1036"/>
      <c r="P93" s="1036"/>
      <c r="Q93" s="1036"/>
      <c r="R93" s="1497"/>
      <c r="S93" s="1036"/>
      <c r="T93" s="1036"/>
      <c r="U93" s="471"/>
      <c r="V93" s="1036"/>
      <c r="W93" s="1036"/>
      <c r="X93" s="1036"/>
      <c r="Y93" s="1036"/>
      <c r="Z93" s="1036"/>
      <c r="AA93" s="1493"/>
      <c r="AB93" s="493"/>
      <c r="AC93" s="493"/>
      <c r="AD93" s="493"/>
      <c r="AE93" s="493"/>
    </row>
    <row r="94" spans="1:31" s="1720" customFormat="1" ht="11.25" customHeight="1">
      <c r="A94" s="880"/>
      <c r="B94" s="1497"/>
      <c r="C94" s="1497"/>
      <c r="D94" s="275"/>
      <c r="K94" s="1036"/>
      <c r="L94" s="1497"/>
      <c r="M94" s="1497"/>
      <c r="N94" s="1036"/>
      <c r="O94" s="1036"/>
      <c r="P94" s="1036"/>
      <c r="Q94" s="1036"/>
      <c r="R94" s="1497"/>
      <c r="S94" s="1036"/>
      <c r="T94" s="1036"/>
      <c r="U94" s="471"/>
      <c r="V94" s="1036"/>
      <c r="W94" s="1036"/>
      <c r="X94" s="1036"/>
      <c r="Y94" s="1036"/>
      <c r="Z94" s="1036"/>
      <c r="AA94" s="1493"/>
      <c r="AB94" s="493"/>
      <c r="AC94" s="493"/>
      <c r="AD94" s="493"/>
      <c r="AE94" s="493"/>
    </row>
    <row r="95" spans="1:31" s="1720" customFormat="1" ht="11.25" customHeight="1">
      <c r="A95" s="880"/>
      <c r="B95" s="1497"/>
      <c r="C95" s="1497"/>
      <c r="D95" s="275"/>
      <c r="K95" s="1036"/>
      <c r="L95" s="1497"/>
      <c r="M95" s="1497"/>
      <c r="N95" s="1036"/>
      <c r="O95" s="1036"/>
      <c r="P95" s="1036"/>
      <c r="Q95" s="1036"/>
      <c r="R95" s="1497"/>
      <c r="S95" s="1036"/>
      <c r="T95" s="1036"/>
      <c r="U95" s="471"/>
      <c r="V95" s="1036"/>
      <c r="W95" s="1036"/>
      <c r="X95" s="1036"/>
      <c r="Y95" s="1036"/>
      <c r="Z95" s="1036"/>
      <c r="AA95" s="1493"/>
      <c r="AB95" s="493"/>
      <c r="AC95" s="493"/>
      <c r="AD95" s="493"/>
      <c r="AE95" s="493"/>
    </row>
    <row r="96" spans="1:31" s="1720" customFormat="1" ht="11.25" customHeight="1">
      <c r="A96" s="880"/>
      <c r="B96" s="1497"/>
      <c r="C96" s="1497"/>
      <c r="D96" s="275"/>
      <c r="K96" s="1036"/>
      <c r="L96" s="1497"/>
      <c r="M96" s="1497"/>
      <c r="N96" s="1036"/>
      <c r="O96" s="1036"/>
      <c r="P96" s="1036"/>
      <c r="Q96" s="1036"/>
      <c r="R96" s="1497"/>
      <c r="S96" s="1036"/>
      <c r="T96" s="1036"/>
      <c r="U96" s="471"/>
      <c r="V96" s="1036"/>
      <c r="W96" s="1036"/>
      <c r="X96" s="1036"/>
      <c r="Y96" s="1036"/>
      <c r="Z96" s="1036"/>
      <c r="AA96" s="1493"/>
      <c r="AB96" s="493"/>
      <c r="AC96" s="493"/>
      <c r="AD96" s="493"/>
      <c r="AE96" s="493"/>
    </row>
    <row r="97" spans="1:31" s="1720" customFormat="1" ht="11.25" customHeight="1">
      <c r="A97" s="880"/>
      <c r="B97" s="1497"/>
      <c r="C97" s="1497"/>
      <c r="D97" s="275"/>
      <c r="K97" s="1036"/>
      <c r="L97" s="1497"/>
      <c r="M97" s="1497"/>
      <c r="N97" s="1036"/>
      <c r="O97" s="1036"/>
      <c r="P97" s="1036"/>
      <c r="Q97" s="1036"/>
      <c r="R97" s="1497"/>
      <c r="S97" s="1036"/>
      <c r="T97" s="1036"/>
      <c r="U97" s="471"/>
      <c r="V97" s="1036"/>
      <c r="W97" s="1036"/>
      <c r="X97" s="1036"/>
      <c r="Y97" s="1036"/>
      <c r="Z97" s="1036"/>
      <c r="AA97" s="1493"/>
      <c r="AB97" s="493"/>
      <c r="AC97" s="493"/>
      <c r="AD97" s="493"/>
      <c r="AE97" s="493"/>
    </row>
    <row r="98" spans="1:31" s="1720" customFormat="1" ht="11.25" customHeight="1">
      <c r="A98" s="880"/>
      <c r="B98" s="1497"/>
      <c r="C98" s="1497"/>
      <c r="D98" s="275"/>
      <c r="K98" s="1036"/>
      <c r="L98" s="1497"/>
      <c r="M98" s="1497"/>
      <c r="N98" s="1036"/>
      <c r="O98" s="1036"/>
      <c r="P98" s="1036"/>
      <c r="Q98" s="1036"/>
      <c r="R98" s="1497"/>
      <c r="S98" s="1036"/>
      <c r="T98" s="1036"/>
      <c r="U98" s="471"/>
      <c r="V98" s="1036"/>
      <c r="W98" s="1036"/>
      <c r="X98" s="1036"/>
      <c r="Y98" s="1036"/>
      <c r="Z98" s="1036"/>
      <c r="AA98" s="1493"/>
      <c r="AB98" s="493"/>
      <c r="AC98" s="493"/>
      <c r="AD98" s="493"/>
      <c r="AE98" s="493"/>
    </row>
    <row r="99" spans="1:31" s="1720" customFormat="1" ht="11.25" customHeight="1">
      <c r="A99" s="880"/>
      <c r="B99" s="1497"/>
      <c r="C99" s="1497"/>
      <c r="D99" s="275"/>
      <c r="K99" s="1036"/>
      <c r="L99" s="1497"/>
      <c r="M99" s="1497"/>
      <c r="N99" s="1036"/>
      <c r="O99" s="1036"/>
      <c r="P99" s="1036"/>
      <c r="Q99" s="1036"/>
      <c r="R99" s="1497"/>
      <c r="S99" s="1036"/>
      <c r="T99" s="1036"/>
      <c r="U99" s="471"/>
      <c r="V99" s="1036"/>
      <c r="W99" s="1036"/>
      <c r="X99" s="1036"/>
      <c r="Y99" s="1036"/>
      <c r="Z99" s="1036"/>
      <c r="AA99" s="1493"/>
      <c r="AB99" s="493"/>
      <c r="AC99" s="493"/>
      <c r="AD99" s="493"/>
      <c r="AE99" s="493"/>
    </row>
    <row r="100" spans="1:31" s="1720" customFormat="1" ht="11.25" customHeight="1">
      <c r="A100" s="880"/>
      <c r="B100" s="1497"/>
      <c r="C100" s="1497"/>
      <c r="D100" s="275"/>
      <c r="K100" s="1036"/>
      <c r="L100" s="1497"/>
      <c r="M100" s="1497"/>
      <c r="N100" s="1036"/>
      <c r="O100" s="1036"/>
      <c r="P100" s="1036"/>
      <c r="Q100" s="1036"/>
      <c r="R100" s="1497"/>
      <c r="S100" s="1036"/>
      <c r="T100" s="1036"/>
      <c r="U100" s="471"/>
      <c r="V100" s="1036"/>
      <c r="W100" s="1036"/>
      <c r="X100" s="1036"/>
      <c r="Y100" s="1036"/>
      <c r="Z100" s="1036"/>
      <c r="AA100" s="1493"/>
      <c r="AB100" s="493"/>
      <c r="AC100" s="493"/>
      <c r="AD100" s="493"/>
      <c r="AE100" s="493"/>
    </row>
    <row r="101" spans="1:31" s="1720" customFormat="1" ht="11.25" customHeight="1">
      <c r="A101" s="880"/>
      <c r="B101" s="1497"/>
      <c r="C101" s="1497"/>
      <c r="D101" s="275"/>
      <c r="K101" s="1036"/>
      <c r="L101" s="1497"/>
      <c r="M101" s="1497"/>
      <c r="N101" s="1036"/>
      <c r="O101" s="1036"/>
      <c r="P101" s="1036"/>
      <c r="Q101" s="1036"/>
      <c r="R101" s="1497"/>
      <c r="S101" s="1036"/>
      <c r="T101" s="1036"/>
      <c r="U101" s="471"/>
      <c r="V101" s="1036"/>
      <c r="W101" s="1036"/>
      <c r="X101" s="1036"/>
      <c r="Y101" s="1036"/>
      <c r="Z101" s="1036"/>
      <c r="AA101" s="1493"/>
      <c r="AB101" s="493"/>
      <c r="AC101" s="493"/>
      <c r="AD101" s="493"/>
      <c r="AE101" s="493"/>
    </row>
    <row r="102" spans="1:31" s="1720" customFormat="1" ht="11.25" customHeight="1">
      <c r="A102" s="880"/>
      <c r="B102" s="1497"/>
      <c r="C102" s="1497"/>
      <c r="D102" s="275"/>
      <c r="K102" s="1036"/>
      <c r="L102" s="1497"/>
      <c r="M102" s="1497"/>
      <c r="N102" s="1036"/>
      <c r="O102" s="1036"/>
      <c r="P102" s="1036"/>
      <c r="Q102" s="1036"/>
      <c r="R102" s="1497"/>
      <c r="S102" s="1036"/>
      <c r="T102" s="1036"/>
      <c r="U102" s="471"/>
      <c r="V102" s="1036"/>
      <c r="W102" s="1036"/>
      <c r="X102" s="1036"/>
      <c r="Y102" s="1036"/>
      <c r="Z102" s="1036"/>
      <c r="AA102" s="1493"/>
      <c r="AB102" s="493"/>
      <c r="AC102" s="493"/>
      <c r="AD102" s="493"/>
      <c r="AE102" s="493"/>
    </row>
    <row r="103" spans="1:31" s="1720" customFormat="1" ht="11.25" customHeight="1">
      <c r="A103" s="880"/>
      <c r="B103" s="1497"/>
      <c r="C103" s="1497"/>
      <c r="D103" s="275"/>
      <c r="K103" s="1036"/>
      <c r="L103" s="1497"/>
      <c r="M103" s="1497"/>
      <c r="N103" s="1036"/>
      <c r="O103" s="1036"/>
      <c r="P103" s="1036"/>
      <c r="Q103" s="1036"/>
      <c r="R103" s="1497"/>
      <c r="S103" s="1036"/>
      <c r="T103" s="1036"/>
      <c r="U103" s="471"/>
      <c r="V103" s="1036"/>
      <c r="W103" s="1036"/>
      <c r="X103" s="1036"/>
      <c r="Y103" s="1036"/>
      <c r="Z103" s="1036"/>
      <c r="AA103" s="1493"/>
      <c r="AB103" s="493"/>
      <c r="AC103" s="493"/>
      <c r="AD103" s="493"/>
      <c r="AE103" s="493"/>
    </row>
    <row r="104" spans="1:31" s="1720" customFormat="1" ht="11.25" customHeight="1">
      <c r="A104" s="880"/>
      <c r="B104" s="1497"/>
      <c r="C104" s="1497"/>
      <c r="D104" s="275"/>
      <c r="K104" s="1036"/>
      <c r="L104" s="1497"/>
      <c r="M104" s="1497"/>
      <c r="N104" s="1036"/>
      <c r="O104" s="1036"/>
      <c r="P104" s="1036"/>
      <c r="Q104" s="1036"/>
      <c r="R104" s="1497"/>
      <c r="S104" s="1036"/>
      <c r="T104" s="1036"/>
      <c r="U104" s="471"/>
      <c r="V104" s="1036"/>
      <c r="W104" s="1036"/>
      <c r="X104" s="1036"/>
      <c r="Y104" s="1036"/>
      <c r="Z104" s="1036"/>
      <c r="AA104" s="1493"/>
      <c r="AB104" s="493"/>
      <c r="AC104" s="493"/>
      <c r="AD104" s="493"/>
      <c r="AE104" s="493"/>
    </row>
    <row r="105" spans="1:31" s="1720" customFormat="1" ht="11.25" customHeight="1">
      <c r="A105" s="880"/>
      <c r="B105" s="1497"/>
      <c r="C105" s="1497"/>
      <c r="D105" s="275"/>
      <c r="K105" s="1036"/>
      <c r="L105" s="1497"/>
      <c r="M105" s="1497"/>
      <c r="N105" s="1036"/>
      <c r="O105" s="1036"/>
      <c r="P105" s="1036"/>
      <c r="Q105" s="1036"/>
      <c r="R105" s="1497"/>
      <c r="S105" s="1036"/>
      <c r="T105" s="1036"/>
      <c r="U105" s="471"/>
      <c r="V105" s="1036"/>
      <c r="W105" s="1036"/>
      <c r="X105" s="1036"/>
      <c r="Y105" s="1036"/>
      <c r="Z105" s="1036"/>
      <c r="AA105" s="1493"/>
      <c r="AB105" s="493"/>
      <c r="AC105" s="493"/>
      <c r="AD105" s="493"/>
      <c r="AE105" s="493"/>
    </row>
    <row r="106" spans="1:31" s="1720" customFormat="1" ht="11.25" customHeight="1">
      <c r="A106" s="880"/>
      <c r="B106" s="1497"/>
      <c r="C106" s="1497"/>
      <c r="D106" s="275"/>
      <c r="K106" s="1036"/>
      <c r="L106" s="1497"/>
      <c r="M106" s="1497"/>
      <c r="N106" s="1036"/>
      <c r="O106" s="1036"/>
      <c r="P106" s="1036"/>
      <c r="Q106" s="1036"/>
      <c r="R106" s="1497"/>
      <c r="S106" s="1036"/>
      <c r="T106" s="1036"/>
      <c r="U106" s="471"/>
      <c r="V106" s="1036"/>
      <c r="W106" s="1036"/>
      <c r="X106" s="1036"/>
      <c r="Y106" s="1036"/>
      <c r="Z106" s="1036"/>
      <c r="AA106" s="1493"/>
      <c r="AB106" s="493"/>
      <c r="AC106" s="493"/>
      <c r="AD106" s="493"/>
      <c r="AE106" s="493"/>
    </row>
    <row r="107" spans="1:31" s="1720" customFormat="1" ht="11.25" customHeight="1">
      <c r="A107" s="880"/>
      <c r="B107" s="1497"/>
      <c r="C107" s="1497"/>
      <c r="D107" s="275"/>
      <c r="K107" s="1036"/>
      <c r="L107" s="1497"/>
      <c r="M107" s="1497"/>
      <c r="N107" s="1036"/>
      <c r="O107" s="1036"/>
      <c r="P107" s="1036"/>
      <c r="Q107" s="1036"/>
      <c r="R107" s="1497"/>
      <c r="S107" s="1036"/>
      <c r="T107" s="1036"/>
      <c r="U107" s="471"/>
      <c r="V107" s="1036"/>
      <c r="W107" s="1036"/>
      <c r="X107" s="1036"/>
      <c r="Y107" s="1036"/>
      <c r="Z107" s="1036"/>
      <c r="AA107" s="1493"/>
      <c r="AB107" s="493"/>
      <c r="AC107" s="493"/>
      <c r="AD107" s="493"/>
      <c r="AE107" s="493"/>
    </row>
    <row r="108" spans="1:31" s="1720" customFormat="1" ht="11.25" customHeight="1">
      <c r="A108" s="880"/>
      <c r="B108" s="1497"/>
      <c r="C108" s="1497"/>
      <c r="D108" s="275"/>
      <c r="K108" s="1036"/>
      <c r="L108" s="1497"/>
      <c r="M108" s="1497"/>
      <c r="N108" s="1036"/>
      <c r="O108" s="1036"/>
      <c r="P108" s="1036"/>
      <c r="Q108" s="1036"/>
      <c r="R108" s="1497"/>
      <c r="S108" s="1036"/>
      <c r="T108" s="1036"/>
      <c r="U108" s="471"/>
      <c r="V108" s="1036"/>
      <c r="W108" s="1036"/>
      <c r="X108" s="1036"/>
      <c r="Y108" s="1036"/>
      <c r="Z108" s="1036"/>
      <c r="AA108" s="1493"/>
      <c r="AB108" s="493"/>
      <c r="AC108" s="493"/>
      <c r="AD108" s="493"/>
      <c r="AE108" s="493"/>
    </row>
    <row r="109" spans="1:31" s="1720" customFormat="1" ht="11.25" customHeight="1">
      <c r="A109" s="880"/>
      <c r="B109" s="1497"/>
      <c r="C109" s="1497"/>
      <c r="D109" s="275"/>
      <c r="K109" s="1036"/>
      <c r="L109" s="1497"/>
      <c r="M109" s="1497"/>
      <c r="N109" s="1036"/>
      <c r="O109" s="1036"/>
      <c r="P109" s="1036"/>
      <c r="Q109" s="1036"/>
      <c r="R109" s="1497"/>
      <c r="S109" s="1036"/>
      <c r="T109" s="1036"/>
      <c r="U109" s="471"/>
      <c r="V109" s="1036"/>
      <c r="W109" s="1036"/>
      <c r="X109" s="1036"/>
      <c r="Y109" s="1036"/>
      <c r="Z109" s="1036"/>
      <c r="AA109" s="1493"/>
      <c r="AB109" s="493"/>
      <c r="AC109" s="493"/>
      <c r="AD109" s="493"/>
      <c r="AE109" s="493"/>
    </row>
    <row r="110" spans="1:31" s="1720" customFormat="1" ht="11.25" customHeight="1">
      <c r="A110" s="880"/>
      <c r="B110" s="1497"/>
      <c r="C110" s="1497"/>
      <c r="D110" s="275"/>
      <c r="K110" s="1036"/>
      <c r="L110" s="1497"/>
      <c r="M110" s="1497"/>
      <c r="N110" s="1036"/>
      <c r="O110" s="1036"/>
      <c r="P110" s="1036"/>
      <c r="Q110" s="1036"/>
      <c r="R110" s="1497"/>
      <c r="S110" s="1036"/>
      <c r="T110" s="1036"/>
      <c r="U110" s="471"/>
      <c r="V110" s="1036"/>
      <c r="W110" s="1036"/>
      <c r="X110" s="1036"/>
      <c r="Y110" s="1036"/>
      <c r="Z110" s="1036"/>
      <c r="AA110" s="1493"/>
      <c r="AB110" s="493"/>
      <c r="AC110" s="493"/>
      <c r="AD110" s="493"/>
      <c r="AE110" s="493"/>
    </row>
    <row r="111" spans="1:31" s="1720" customFormat="1" ht="11.25" customHeight="1">
      <c r="A111" s="880"/>
      <c r="B111" s="1497"/>
      <c r="C111" s="1497"/>
      <c r="D111" s="275"/>
      <c r="K111" s="1036"/>
      <c r="L111" s="1497"/>
      <c r="M111" s="1497"/>
      <c r="N111" s="1036"/>
      <c r="O111" s="1036"/>
      <c r="P111" s="1036"/>
      <c r="Q111" s="1036"/>
      <c r="R111" s="1497"/>
      <c r="S111" s="1036"/>
      <c r="T111" s="1036"/>
      <c r="U111" s="471"/>
      <c r="V111" s="1036"/>
      <c r="W111" s="1036"/>
      <c r="X111" s="1036"/>
      <c r="Y111" s="1036"/>
      <c r="Z111" s="1036"/>
      <c r="AA111" s="1493"/>
      <c r="AB111" s="493"/>
      <c r="AC111" s="493"/>
      <c r="AD111" s="493"/>
      <c r="AE111" s="493"/>
    </row>
    <row r="112" spans="1:31" s="1720" customFormat="1" ht="11.25" customHeight="1">
      <c r="A112" s="880"/>
      <c r="B112" s="1497"/>
      <c r="C112" s="1497"/>
      <c r="D112" s="275"/>
      <c r="K112" s="1036"/>
      <c r="L112" s="1497"/>
      <c r="M112" s="1497"/>
      <c r="N112" s="1036"/>
      <c r="O112" s="1036"/>
      <c r="P112" s="1036"/>
      <c r="Q112" s="1036"/>
      <c r="R112" s="1497"/>
      <c r="S112" s="1036"/>
      <c r="T112" s="1036"/>
      <c r="U112" s="471"/>
      <c r="V112" s="1036"/>
      <c r="W112" s="1036"/>
      <c r="X112" s="1036"/>
      <c r="Y112" s="1036"/>
      <c r="Z112" s="1036"/>
      <c r="AA112" s="1493"/>
      <c r="AB112" s="493"/>
      <c r="AC112" s="493"/>
      <c r="AD112" s="493"/>
      <c r="AE112" s="493"/>
    </row>
    <row r="113" spans="1:31" s="1720" customFormat="1" ht="11.25" customHeight="1">
      <c r="A113" s="880"/>
      <c r="B113" s="1497"/>
      <c r="C113" s="1497"/>
      <c r="D113" s="275"/>
      <c r="K113" s="1036"/>
      <c r="L113" s="1497"/>
      <c r="M113" s="1497"/>
      <c r="N113" s="1036"/>
      <c r="O113" s="1036"/>
      <c r="P113" s="1036"/>
      <c r="Q113" s="1036"/>
      <c r="R113" s="1497"/>
      <c r="S113" s="1036"/>
      <c r="T113" s="1036"/>
      <c r="U113" s="471"/>
      <c r="V113" s="1036"/>
      <c r="W113" s="1036"/>
      <c r="X113" s="1036"/>
      <c r="Y113" s="1036"/>
      <c r="Z113" s="1036"/>
      <c r="AA113" s="1493"/>
      <c r="AB113" s="493"/>
      <c r="AC113" s="493"/>
      <c r="AD113" s="493"/>
      <c r="AE113" s="493"/>
    </row>
    <row r="114" spans="1:31" s="1720" customFormat="1" ht="11.25" customHeight="1">
      <c r="A114" s="880"/>
      <c r="B114" s="1497"/>
      <c r="C114" s="1497"/>
      <c r="D114" s="275"/>
      <c r="K114" s="1036"/>
      <c r="L114" s="1497"/>
      <c r="M114" s="1497"/>
      <c r="N114" s="1036"/>
      <c r="O114" s="1036"/>
      <c r="P114" s="1036"/>
      <c r="Q114" s="1036"/>
      <c r="R114" s="1497"/>
      <c r="S114" s="1036"/>
      <c r="T114" s="1036"/>
      <c r="U114" s="471"/>
      <c r="V114" s="1036"/>
      <c r="W114" s="1036"/>
      <c r="X114" s="1036"/>
      <c r="Y114" s="1036"/>
      <c r="Z114" s="1036"/>
      <c r="AA114" s="1493"/>
      <c r="AB114" s="493"/>
      <c r="AC114" s="493"/>
      <c r="AD114" s="493"/>
      <c r="AE114" s="493"/>
    </row>
    <row r="115" spans="1:31" s="1720" customFormat="1" ht="11.25" customHeight="1">
      <c r="A115" s="880"/>
      <c r="B115" s="1497"/>
      <c r="C115" s="1497"/>
      <c r="D115" s="275"/>
      <c r="K115" s="1036"/>
      <c r="L115" s="1497"/>
      <c r="M115" s="1497"/>
      <c r="N115" s="1036"/>
      <c r="O115" s="1036"/>
      <c r="P115" s="1036"/>
      <c r="Q115" s="1036"/>
      <c r="R115" s="1497"/>
      <c r="S115" s="1036"/>
      <c r="T115" s="1036"/>
      <c r="U115" s="471"/>
      <c r="V115" s="1036"/>
      <c r="W115" s="1036"/>
      <c r="X115" s="1036"/>
      <c r="Y115" s="1036"/>
      <c r="Z115" s="1036"/>
      <c r="AA115" s="1493"/>
      <c r="AB115" s="493"/>
      <c r="AC115" s="493"/>
      <c r="AD115" s="493"/>
      <c r="AE115" s="493"/>
    </row>
    <row r="116" spans="1:31" s="1720" customFormat="1" ht="11.25" customHeight="1">
      <c r="A116" s="880"/>
      <c r="B116" s="1497"/>
      <c r="C116" s="1497"/>
      <c r="D116" s="275"/>
      <c r="K116" s="1036"/>
      <c r="L116" s="1497"/>
      <c r="M116" s="1497"/>
      <c r="N116" s="1036"/>
      <c r="O116" s="1036"/>
      <c r="P116" s="1036"/>
      <c r="Q116" s="1036"/>
      <c r="R116" s="1497"/>
      <c r="S116" s="1036"/>
      <c r="T116" s="1036"/>
      <c r="U116" s="471"/>
      <c r="V116" s="1036"/>
      <c r="W116" s="1036"/>
      <c r="X116" s="1036"/>
      <c r="Y116" s="1036"/>
      <c r="Z116" s="1036"/>
      <c r="AA116" s="1493"/>
      <c r="AB116" s="493"/>
      <c r="AC116" s="493"/>
      <c r="AD116" s="493"/>
      <c r="AE116" s="493"/>
    </row>
    <row r="117" spans="1:31" s="1720" customFormat="1" ht="11.25" customHeight="1">
      <c r="A117" s="880"/>
      <c r="B117" s="1497"/>
      <c r="C117" s="1497"/>
      <c r="D117" s="275"/>
      <c r="K117" s="1036"/>
      <c r="L117" s="1497"/>
      <c r="M117" s="1497"/>
      <c r="N117" s="1036"/>
      <c r="O117" s="1036"/>
      <c r="P117" s="1036"/>
      <c r="Q117" s="1036"/>
      <c r="R117" s="1497"/>
      <c r="S117" s="1036"/>
      <c r="T117" s="1036"/>
      <c r="U117" s="471"/>
      <c r="V117" s="1036"/>
      <c r="W117" s="1036"/>
      <c r="X117" s="1036"/>
      <c r="Y117" s="1036"/>
      <c r="Z117" s="1036"/>
      <c r="AA117" s="1493"/>
      <c r="AB117" s="493"/>
      <c r="AC117" s="493"/>
      <c r="AD117" s="493"/>
      <c r="AE117" s="493"/>
    </row>
    <row r="118" spans="1:31" s="1720" customFormat="1" ht="11.25" customHeight="1">
      <c r="A118" s="880"/>
      <c r="B118" s="1497"/>
      <c r="C118" s="1497"/>
      <c r="D118" s="275"/>
      <c r="K118" s="1036"/>
      <c r="L118" s="1497"/>
      <c r="M118" s="1497"/>
      <c r="N118" s="1036"/>
      <c r="O118" s="1036"/>
      <c r="P118" s="1036"/>
      <c r="Q118" s="1036"/>
      <c r="R118" s="1497"/>
      <c r="S118" s="1036"/>
      <c r="T118" s="1036"/>
      <c r="U118" s="471"/>
      <c r="V118" s="1036"/>
      <c r="W118" s="1036"/>
      <c r="X118" s="1036"/>
      <c r="Y118" s="1036"/>
      <c r="Z118" s="1036"/>
      <c r="AA118" s="1493"/>
      <c r="AB118" s="493"/>
      <c r="AC118" s="493"/>
      <c r="AD118" s="493"/>
      <c r="AE118" s="493"/>
    </row>
    <row r="119" spans="1:31" s="1720" customFormat="1" ht="11.25" customHeight="1">
      <c r="A119" s="880"/>
      <c r="B119" s="1497"/>
      <c r="C119" s="1497"/>
      <c r="D119" s="275"/>
      <c r="K119" s="1036"/>
      <c r="L119" s="1497"/>
      <c r="M119" s="1497"/>
      <c r="N119" s="1036"/>
      <c r="O119" s="1036"/>
      <c r="P119" s="1036"/>
      <c r="Q119" s="1036"/>
      <c r="R119" s="1497"/>
      <c r="S119" s="1036"/>
      <c r="T119" s="1036"/>
      <c r="U119" s="471"/>
      <c r="V119" s="1036"/>
      <c r="W119" s="1036"/>
      <c r="X119" s="1036"/>
      <c r="Y119" s="1036"/>
      <c r="Z119" s="1036"/>
      <c r="AA119" s="1493"/>
      <c r="AB119" s="493"/>
      <c r="AC119" s="493"/>
      <c r="AD119" s="493"/>
      <c r="AE119" s="493"/>
    </row>
    <row r="120" spans="1:31" s="1720" customFormat="1" ht="11.25" customHeight="1">
      <c r="A120" s="880"/>
      <c r="B120" s="1497"/>
      <c r="C120" s="1497"/>
      <c r="D120" s="275"/>
      <c r="K120" s="1036"/>
      <c r="L120" s="1497"/>
      <c r="M120" s="1497"/>
      <c r="N120" s="1036"/>
      <c r="O120" s="1036"/>
      <c r="P120" s="1036"/>
      <c r="Q120" s="1036"/>
      <c r="R120" s="1497"/>
      <c r="S120" s="1036"/>
      <c r="T120" s="1036"/>
      <c r="U120" s="471"/>
      <c r="V120" s="1036"/>
      <c r="W120" s="1036"/>
      <c r="X120" s="1036"/>
      <c r="Y120" s="1036"/>
      <c r="Z120" s="1036"/>
      <c r="AA120" s="1493"/>
      <c r="AB120" s="493"/>
      <c r="AC120" s="493"/>
      <c r="AD120" s="493"/>
      <c r="AE120" s="493"/>
    </row>
    <row r="121" spans="1:31" s="1720" customFormat="1" ht="11.25" customHeight="1">
      <c r="A121" s="880"/>
      <c r="B121" s="1497"/>
      <c r="C121" s="1497"/>
      <c r="D121" s="275"/>
      <c r="K121" s="1036"/>
      <c r="L121" s="1497"/>
      <c r="M121" s="1497"/>
      <c r="N121" s="1036"/>
      <c r="O121" s="1036"/>
      <c r="P121" s="1036"/>
      <c r="Q121" s="1036"/>
      <c r="R121" s="1497"/>
      <c r="S121" s="1036"/>
      <c r="T121" s="1036"/>
      <c r="U121" s="471"/>
      <c r="V121" s="1036"/>
      <c r="W121" s="1036"/>
      <c r="X121" s="1036"/>
      <c r="Y121" s="1036"/>
      <c r="Z121" s="1036"/>
      <c r="AA121" s="1493"/>
      <c r="AB121" s="493"/>
      <c r="AC121" s="493"/>
      <c r="AD121" s="493"/>
      <c r="AE121" s="493"/>
    </row>
    <row r="122" spans="1:31" s="1720" customFormat="1" ht="11.25" customHeight="1">
      <c r="A122" s="880"/>
      <c r="B122" s="1497"/>
      <c r="C122" s="1497"/>
      <c r="D122" s="275"/>
      <c r="K122" s="1036"/>
      <c r="L122" s="1497"/>
      <c r="M122" s="1497"/>
      <c r="N122" s="1036"/>
      <c r="O122" s="1036"/>
      <c r="P122" s="1036"/>
      <c r="Q122" s="1036"/>
      <c r="R122" s="1497"/>
      <c r="S122" s="1036"/>
      <c r="T122" s="1036"/>
      <c r="U122" s="471"/>
      <c r="V122" s="1036"/>
      <c r="W122" s="1036"/>
      <c r="X122" s="1036"/>
      <c r="Y122" s="1036"/>
      <c r="Z122" s="1036"/>
      <c r="AA122" s="1493"/>
      <c r="AB122" s="493"/>
      <c r="AC122" s="493"/>
      <c r="AD122" s="493"/>
      <c r="AE122" s="493"/>
    </row>
    <row r="123" spans="1:31" s="1720" customFormat="1" ht="11.25" customHeight="1">
      <c r="A123" s="880"/>
      <c r="B123" s="1497"/>
      <c r="C123" s="1497"/>
      <c r="D123" s="275"/>
      <c r="K123" s="1036"/>
      <c r="L123" s="1497"/>
      <c r="M123" s="1497"/>
      <c r="N123" s="1036"/>
      <c r="O123" s="1036"/>
      <c r="P123" s="1036"/>
      <c r="Q123" s="1036"/>
      <c r="R123" s="1497"/>
      <c r="S123" s="1036"/>
      <c r="T123" s="1036"/>
      <c r="U123" s="471"/>
      <c r="V123" s="1036"/>
      <c r="W123" s="1036"/>
      <c r="X123" s="1036"/>
      <c r="Y123" s="1036"/>
      <c r="Z123" s="1036"/>
      <c r="AA123" s="1493"/>
      <c r="AB123" s="493"/>
      <c r="AC123" s="493"/>
      <c r="AD123" s="493"/>
      <c r="AE123" s="493"/>
    </row>
    <row r="124" spans="1:31" s="1720" customFormat="1" ht="11.25" customHeight="1">
      <c r="A124" s="880"/>
      <c r="B124" s="1497"/>
      <c r="C124" s="1497"/>
      <c r="D124" s="275"/>
      <c r="K124" s="1036"/>
      <c r="L124" s="1497"/>
      <c r="M124" s="1497"/>
      <c r="N124" s="1036"/>
      <c r="O124" s="1036"/>
      <c r="P124" s="1036"/>
      <c r="Q124" s="1036"/>
      <c r="R124" s="1497"/>
      <c r="S124" s="1036"/>
      <c r="T124" s="1036"/>
      <c r="U124" s="471"/>
      <c r="V124" s="1036"/>
      <c r="W124" s="1036"/>
      <c r="X124" s="1036"/>
      <c r="Y124" s="1036"/>
      <c r="Z124" s="1036"/>
      <c r="AA124" s="1493"/>
      <c r="AB124" s="493"/>
      <c r="AC124" s="493"/>
      <c r="AD124" s="493"/>
      <c r="AE124" s="493"/>
    </row>
    <row r="125" spans="1:31" s="1720" customFormat="1" ht="11.25" customHeight="1">
      <c r="A125" s="880"/>
      <c r="B125" s="1497"/>
      <c r="C125" s="1497"/>
      <c r="D125" s="275"/>
      <c r="K125" s="1036"/>
      <c r="L125" s="1497"/>
      <c r="M125" s="1497"/>
      <c r="N125" s="1036"/>
      <c r="O125" s="1036"/>
      <c r="P125" s="1036"/>
      <c r="Q125" s="1036"/>
      <c r="R125" s="1497"/>
      <c r="S125" s="1036"/>
      <c r="T125" s="1036"/>
      <c r="U125" s="471"/>
      <c r="V125" s="1036"/>
      <c r="W125" s="1036"/>
      <c r="X125" s="1036"/>
      <c r="Y125" s="1036"/>
      <c r="Z125" s="1036"/>
      <c r="AA125" s="1493"/>
      <c r="AB125" s="493"/>
      <c r="AC125" s="493"/>
      <c r="AD125" s="493"/>
      <c r="AE125" s="493"/>
    </row>
    <row r="126" spans="1:31" s="1720" customFormat="1" ht="11.25" customHeight="1">
      <c r="A126" s="880"/>
      <c r="B126" s="1497"/>
      <c r="C126" s="1497"/>
      <c r="D126" s="275"/>
      <c r="K126" s="1036"/>
      <c r="L126" s="1497"/>
      <c r="M126" s="1497"/>
      <c r="N126" s="1036"/>
      <c r="O126" s="1036"/>
      <c r="P126" s="1036"/>
      <c r="Q126" s="1036"/>
      <c r="R126" s="1497"/>
      <c r="S126" s="1036"/>
      <c r="T126" s="1036"/>
      <c r="U126" s="471"/>
      <c r="V126" s="1036"/>
      <c r="W126" s="1036"/>
      <c r="X126" s="1036"/>
      <c r="Y126" s="1036"/>
      <c r="Z126" s="1036"/>
      <c r="AA126" s="1493"/>
      <c r="AB126" s="493"/>
      <c r="AC126" s="493"/>
      <c r="AD126" s="493"/>
      <c r="AE126" s="493"/>
    </row>
    <row r="127" spans="1:31" s="1720" customFormat="1" ht="11.25" customHeight="1">
      <c r="A127" s="880"/>
      <c r="B127" s="1497"/>
      <c r="C127" s="1497"/>
      <c r="D127" s="275"/>
      <c r="K127" s="1036"/>
      <c r="L127" s="1497"/>
      <c r="M127" s="1497"/>
      <c r="N127" s="1036"/>
      <c r="O127" s="1036"/>
      <c r="P127" s="1036"/>
      <c r="Q127" s="1036"/>
      <c r="R127" s="1497"/>
      <c r="S127" s="1036"/>
      <c r="T127" s="1036"/>
      <c r="U127" s="471"/>
      <c r="V127" s="1036"/>
      <c r="W127" s="1036"/>
      <c r="X127" s="1036"/>
      <c r="Y127" s="1036"/>
      <c r="Z127" s="1036"/>
      <c r="AA127" s="1493"/>
      <c r="AB127" s="493"/>
      <c r="AC127" s="493"/>
      <c r="AD127" s="493"/>
      <c r="AE127" s="493"/>
    </row>
    <row r="128" spans="1:31" s="1720" customFormat="1" ht="11.25" customHeight="1">
      <c r="A128" s="880"/>
      <c r="B128" s="1497"/>
      <c r="C128" s="1497"/>
      <c r="D128" s="275"/>
      <c r="K128" s="1036"/>
      <c r="L128" s="1497"/>
      <c r="M128" s="1497"/>
      <c r="N128" s="1036"/>
      <c r="O128" s="1036"/>
      <c r="P128" s="1036"/>
      <c r="Q128" s="1036"/>
      <c r="R128" s="1497"/>
      <c r="S128" s="1036"/>
      <c r="T128" s="1036"/>
      <c r="U128" s="471"/>
      <c r="V128" s="1036"/>
      <c r="W128" s="1036"/>
      <c r="X128" s="1036"/>
      <c r="Y128" s="1036"/>
      <c r="Z128" s="1036"/>
      <c r="AA128" s="1493"/>
      <c r="AB128" s="493"/>
      <c r="AC128" s="493"/>
      <c r="AD128" s="493"/>
      <c r="AE128" s="493"/>
    </row>
    <row r="129" spans="1:31" s="1720" customFormat="1" ht="11.25" customHeight="1">
      <c r="A129" s="880"/>
      <c r="B129" s="1497"/>
      <c r="C129" s="1497"/>
      <c r="D129" s="275"/>
      <c r="K129" s="1036"/>
      <c r="L129" s="1497"/>
      <c r="M129" s="1497"/>
      <c r="N129" s="1036"/>
      <c r="O129" s="1036"/>
      <c r="P129" s="1036"/>
      <c r="Q129" s="1036"/>
      <c r="R129" s="1497"/>
      <c r="S129" s="1036"/>
      <c r="T129" s="1036"/>
      <c r="U129" s="471"/>
      <c r="V129" s="1036"/>
      <c r="W129" s="1036"/>
      <c r="X129" s="1036"/>
      <c r="Y129" s="1036"/>
      <c r="Z129" s="1036"/>
      <c r="AA129" s="1493"/>
      <c r="AB129" s="493"/>
      <c r="AC129" s="493"/>
      <c r="AD129" s="493"/>
      <c r="AE129" s="493"/>
    </row>
    <row r="130" spans="1:31" s="1720" customFormat="1" ht="11.25" customHeight="1">
      <c r="A130" s="880"/>
      <c r="B130" s="1497"/>
      <c r="C130" s="1497"/>
      <c r="D130" s="275"/>
      <c r="K130" s="1036"/>
      <c r="L130" s="1497"/>
      <c r="M130" s="1497"/>
      <c r="N130" s="1036"/>
      <c r="O130" s="1036"/>
      <c r="P130" s="1036"/>
      <c r="Q130" s="1036"/>
      <c r="R130" s="1497"/>
      <c r="S130" s="1036"/>
      <c r="T130" s="1036"/>
      <c r="U130" s="471"/>
      <c r="V130" s="1036"/>
      <c r="W130" s="1036"/>
      <c r="X130" s="1036"/>
      <c r="Y130" s="1036"/>
      <c r="Z130" s="1036"/>
      <c r="AA130" s="1493"/>
      <c r="AB130" s="493"/>
      <c r="AC130" s="493"/>
      <c r="AD130" s="493"/>
      <c r="AE130" s="493"/>
    </row>
    <row r="131" spans="1:31" s="1720" customFormat="1" ht="11.25" customHeight="1">
      <c r="A131" s="880"/>
      <c r="B131" s="1497"/>
      <c r="C131" s="1497"/>
      <c r="D131" s="275"/>
      <c r="K131" s="1036"/>
      <c r="L131" s="1497"/>
      <c r="M131" s="1497"/>
      <c r="N131" s="1036"/>
      <c r="O131" s="1036"/>
      <c r="P131" s="1036"/>
      <c r="Q131" s="1036"/>
      <c r="R131" s="1497"/>
      <c r="S131" s="1036"/>
      <c r="T131" s="1036"/>
      <c r="U131" s="471"/>
      <c r="V131" s="1036"/>
      <c r="W131" s="1036"/>
      <c r="X131" s="1036"/>
      <c r="Y131" s="1036"/>
      <c r="Z131" s="1036"/>
      <c r="AA131" s="1493"/>
      <c r="AB131" s="493"/>
      <c r="AC131" s="493"/>
      <c r="AD131" s="493"/>
      <c r="AE131" s="493"/>
    </row>
    <row r="132" spans="1:31" s="1720" customFormat="1" ht="11.25" customHeight="1">
      <c r="A132" s="880"/>
      <c r="B132" s="1497"/>
      <c r="C132" s="1497"/>
      <c r="D132" s="275"/>
      <c r="K132" s="1036"/>
      <c r="L132" s="1497"/>
      <c r="M132" s="1497"/>
      <c r="N132" s="1036"/>
      <c r="O132" s="1036"/>
      <c r="P132" s="1036"/>
      <c r="Q132" s="1036"/>
      <c r="R132" s="1497"/>
      <c r="S132" s="1036"/>
      <c r="T132" s="1036"/>
      <c r="U132" s="471"/>
      <c r="V132" s="1036"/>
      <c r="W132" s="1036"/>
      <c r="X132" s="1036"/>
      <c r="Y132" s="1036"/>
      <c r="Z132" s="1036"/>
      <c r="AA132" s="1493"/>
      <c r="AB132" s="493"/>
      <c r="AC132" s="493"/>
      <c r="AD132" s="493"/>
      <c r="AE132" s="493"/>
    </row>
    <row r="133" spans="1:31" s="1720" customFormat="1" ht="11.25" customHeight="1">
      <c r="A133" s="880"/>
      <c r="B133" s="1497"/>
      <c r="C133" s="1497"/>
      <c r="D133" s="275"/>
      <c r="K133" s="1036"/>
      <c r="L133" s="1497"/>
      <c r="M133" s="1497"/>
      <c r="N133" s="1036"/>
      <c r="O133" s="1036"/>
      <c r="P133" s="1036"/>
      <c r="Q133" s="1036"/>
      <c r="R133" s="1497"/>
      <c r="S133" s="1036"/>
      <c r="T133" s="1036"/>
      <c r="U133" s="471"/>
      <c r="V133" s="1036"/>
      <c r="W133" s="1036"/>
      <c r="X133" s="1036"/>
      <c r="Y133" s="1036"/>
      <c r="Z133" s="1036"/>
      <c r="AA133" s="1493"/>
      <c r="AB133" s="493"/>
      <c r="AC133" s="493"/>
      <c r="AD133" s="493"/>
      <c r="AE133" s="493"/>
    </row>
    <row r="134" spans="1:31" s="1720" customFormat="1" ht="11.25" customHeight="1">
      <c r="A134" s="880"/>
      <c r="B134" s="1497"/>
      <c r="C134" s="1497"/>
      <c r="D134" s="275"/>
      <c r="K134" s="1036"/>
      <c r="L134" s="1497"/>
      <c r="M134" s="1497"/>
      <c r="N134" s="1036"/>
      <c r="O134" s="1036"/>
      <c r="P134" s="1036"/>
      <c r="Q134" s="1036"/>
      <c r="R134" s="1497"/>
      <c r="S134" s="1036"/>
      <c r="T134" s="1036"/>
      <c r="U134" s="471"/>
      <c r="V134" s="1036"/>
      <c r="W134" s="1036"/>
      <c r="X134" s="1036"/>
      <c r="Y134" s="1036"/>
      <c r="Z134" s="1036"/>
      <c r="AA134" s="1493"/>
      <c r="AB134" s="493"/>
      <c r="AC134" s="493"/>
      <c r="AD134" s="493"/>
      <c r="AE134" s="493"/>
    </row>
    <row r="135" spans="1:31" s="1720" customFormat="1" ht="11.25" customHeight="1">
      <c r="A135" s="880"/>
      <c r="B135" s="1497"/>
      <c r="C135" s="1497"/>
      <c r="D135" s="275"/>
      <c r="K135" s="1036"/>
      <c r="L135" s="1497"/>
      <c r="M135" s="1497"/>
      <c r="N135" s="1036"/>
      <c r="O135" s="1036"/>
      <c r="P135" s="1036"/>
      <c r="Q135" s="1036"/>
      <c r="R135" s="1497"/>
      <c r="S135" s="1036"/>
      <c r="T135" s="1036"/>
      <c r="U135" s="471"/>
      <c r="V135" s="1036"/>
      <c r="W135" s="1036"/>
      <c r="X135" s="1036"/>
      <c r="Y135" s="1036"/>
      <c r="Z135" s="1036"/>
      <c r="AA135" s="1493"/>
      <c r="AB135" s="493"/>
      <c r="AC135" s="493"/>
      <c r="AD135" s="493"/>
      <c r="AE135" s="493"/>
    </row>
    <row r="136" spans="1:31" s="1720" customFormat="1" ht="11.25" customHeight="1">
      <c r="A136" s="880"/>
      <c r="B136" s="1497"/>
      <c r="C136" s="1497"/>
      <c r="D136" s="275"/>
      <c r="K136" s="1036"/>
      <c r="L136" s="1497"/>
      <c r="M136" s="1497"/>
      <c r="N136" s="1036"/>
      <c r="O136" s="1036"/>
      <c r="P136" s="1036"/>
      <c r="Q136" s="1036"/>
      <c r="R136" s="1497"/>
      <c r="S136" s="1036"/>
      <c r="T136" s="1036"/>
      <c r="U136" s="471"/>
      <c r="V136" s="1036"/>
      <c r="W136" s="1036"/>
      <c r="X136" s="1036"/>
      <c r="Y136" s="1036"/>
      <c r="Z136" s="1036"/>
      <c r="AA136" s="1493"/>
      <c r="AB136" s="493"/>
      <c r="AC136" s="493"/>
      <c r="AD136" s="493"/>
      <c r="AE136" s="493"/>
    </row>
    <row r="137" spans="1:31" s="1720" customFormat="1" ht="11.25" customHeight="1">
      <c r="A137" s="880"/>
      <c r="B137" s="1497"/>
      <c r="C137" s="1497"/>
      <c r="D137" s="275"/>
      <c r="K137" s="1036"/>
      <c r="L137" s="1497"/>
      <c r="M137" s="1497"/>
      <c r="N137" s="1036"/>
      <c r="O137" s="1036"/>
      <c r="P137" s="1036"/>
      <c r="Q137" s="1036"/>
      <c r="R137" s="1497"/>
      <c r="S137" s="1036"/>
      <c r="T137" s="1036"/>
      <c r="U137" s="471"/>
      <c r="V137" s="1036"/>
      <c r="W137" s="1036"/>
      <c r="X137" s="1036"/>
      <c r="Y137" s="1036"/>
      <c r="Z137" s="1036"/>
      <c r="AA137" s="1493"/>
      <c r="AB137" s="493"/>
      <c r="AC137" s="493"/>
      <c r="AD137" s="493"/>
      <c r="AE137" s="493"/>
    </row>
    <row r="138" spans="1:31" s="1720" customFormat="1" ht="11.25" customHeight="1">
      <c r="A138" s="880"/>
      <c r="B138" s="1497"/>
      <c r="C138" s="1497"/>
      <c r="D138" s="275"/>
      <c r="K138" s="1036"/>
      <c r="L138" s="1497"/>
      <c r="M138" s="1497"/>
      <c r="N138" s="1036"/>
      <c r="O138" s="1036"/>
      <c r="P138" s="1036"/>
      <c r="Q138" s="1036"/>
      <c r="R138" s="1497"/>
      <c r="S138" s="1036"/>
      <c r="T138" s="1036"/>
      <c r="U138" s="471"/>
      <c r="V138" s="1036"/>
      <c r="W138" s="1036"/>
      <c r="X138" s="1036"/>
      <c r="Y138" s="1036"/>
      <c r="Z138" s="1036"/>
      <c r="AA138" s="1493"/>
      <c r="AB138" s="493"/>
      <c r="AC138" s="493"/>
      <c r="AD138" s="493"/>
      <c r="AE138" s="493"/>
    </row>
    <row r="139" spans="1:31" s="1720" customFormat="1" ht="11.25" customHeight="1">
      <c r="A139" s="880"/>
      <c r="B139" s="1497"/>
      <c r="C139" s="1497"/>
      <c r="D139" s="275"/>
      <c r="K139" s="1036"/>
      <c r="L139" s="1497"/>
      <c r="M139" s="1497"/>
      <c r="N139" s="1036"/>
      <c r="O139" s="1036"/>
      <c r="P139" s="1036"/>
      <c r="Q139" s="1036"/>
      <c r="R139" s="1497"/>
      <c r="S139" s="1036"/>
      <c r="T139" s="1036"/>
      <c r="U139" s="471"/>
      <c r="V139" s="1036"/>
      <c r="W139" s="1036"/>
      <c r="X139" s="1036"/>
      <c r="Y139" s="1036"/>
      <c r="Z139" s="1036"/>
      <c r="AA139" s="1493"/>
      <c r="AB139" s="493"/>
      <c r="AC139" s="493"/>
      <c r="AD139" s="493"/>
      <c r="AE139" s="493"/>
    </row>
    <row r="140" spans="1:31" s="1720" customFormat="1" ht="11.25" customHeight="1">
      <c r="A140" s="880"/>
      <c r="B140" s="1497"/>
      <c r="C140" s="1497"/>
      <c r="D140" s="275"/>
      <c r="K140" s="1036"/>
      <c r="L140" s="1497"/>
      <c r="M140" s="1497"/>
      <c r="N140" s="1036"/>
      <c r="O140" s="1036"/>
      <c r="P140" s="1036"/>
      <c r="Q140" s="1036"/>
      <c r="R140" s="1497"/>
      <c r="S140" s="1036"/>
      <c r="T140" s="1036"/>
      <c r="U140" s="471"/>
      <c r="V140" s="1036"/>
      <c r="W140" s="1036"/>
      <c r="X140" s="1036"/>
      <c r="Y140" s="1036"/>
      <c r="Z140" s="1036"/>
      <c r="AA140" s="1493"/>
      <c r="AB140" s="493"/>
      <c r="AC140" s="493"/>
      <c r="AD140" s="493"/>
      <c r="AE140" s="493"/>
    </row>
    <row r="141" spans="1:31" s="1720" customFormat="1" ht="11.25" customHeight="1">
      <c r="A141" s="880"/>
      <c r="B141" s="1497"/>
      <c r="C141" s="1497"/>
      <c r="D141" s="275"/>
      <c r="K141" s="1036"/>
      <c r="L141" s="1497"/>
      <c r="M141" s="1497"/>
      <c r="N141" s="1036"/>
      <c r="O141" s="1036"/>
      <c r="P141" s="1036"/>
      <c r="Q141" s="1036"/>
      <c r="R141" s="1497"/>
      <c r="S141" s="1036"/>
      <c r="T141" s="1036"/>
      <c r="U141" s="471"/>
      <c r="V141" s="1036"/>
      <c r="W141" s="1036"/>
      <c r="X141" s="1036"/>
      <c r="Y141" s="1036"/>
      <c r="Z141" s="1036"/>
      <c r="AA141" s="1493"/>
      <c r="AB141" s="493"/>
      <c r="AC141" s="493"/>
      <c r="AD141" s="493"/>
      <c r="AE141" s="493"/>
    </row>
    <row r="142" spans="1:31" s="1720" customFormat="1" ht="11.25" customHeight="1">
      <c r="A142" s="880"/>
      <c r="B142" s="1497"/>
      <c r="C142" s="1497"/>
      <c r="D142" s="275"/>
      <c r="K142" s="1036"/>
      <c r="L142" s="1497"/>
      <c r="M142" s="1497"/>
      <c r="N142" s="1036"/>
      <c r="O142" s="1036"/>
      <c r="P142" s="1036"/>
      <c r="Q142" s="1036"/>
      <c r="R142" s="1497"/>
      <c r="S142" s="1036"/>
      <c r="T142" s="1036"/>
      <c r="U142" s="471"/>
      <c r="V142" s="1036"/>
      <c r="W142" s="1036"/>
      <c r="X142" s="1036"/>
      <c r="Y142" s="1036"/>
      <c r="Z142" s="1036"/>
      <c r="AA142" s="1493"/>
      <c r="AB142" s="493"/>
      <c r="AC142" s="493"/>
      <c r="AD142" s="493"/>
      <c r="AE142" s="493"/>
    </row>
    <row r="143" spans="1:31" s="1720" customFormat="1" ht="11.25" customHeight="1">
      <c r="A143" s="880"/>
      <c r="B143" s="1497"/>
      <c r="C143" s="1497"/>
      <c r="D143" s="275"/>
      <c r="K143" s="1036"/>
      <c r="L143" s="1497"/>
      <c r="M143" s="1497"/>
      <c r="N143" s="1036"/>
      <c r="O143" s="1036"/>
      <c r="P143" s="1036"/>
      <c r="Q143" s="1036"/>
      <c r="R143" s="1497"/>
      <c r="S143" s="1036"/>
      <c r="T143" s="1036"/>
      <c r="U143" s="471"/>
      <c r="V143" s="1036"/>
      <c r="W143" s="1036"/>
      <c r="X143" s="1036"/>
      <c r="Y143" s="1036"/>
      <c r="Z143" s="1036"/>
      <c r="AA143" s="1493"/>
      <c r="AB143" s="493"/>
      <c r="AC143" s="493"/>
      <c r="AD143" s="493"/>
      <c r="AE143" s="493"/>
    </row>
    <row r="144" spans="1:31" s="1720" customFormat="1" ht="11.25" customHeight="1">
      <c r="A144" s="880"/>
      <c r="B144" s="1497"/>
      <c r="C144" s="1497"/>
      <c r="D144" s="275"/>
      <c r="K144" s="1036"/>
      <c r="L144" s="1497"/>
      <c r="M144" s="1497"/>
      <c r="N144" s="1036"/>
      <c r="O144" s="1036"/>
      <c r="P144" s="1036"/>
      <c r="Q144" s="1036"/>
      <c r="R144" s="1497"/>
      <c r="S144" s="1036"/>
      <c r="T144" s="1036"/>
      <c r="U144" s="471"/>
      <c r="V144" s="1036"/>
      <c r="W144" s="1036"/>
      <c r="X144" s="1036"/>
      <c r="Y144" s="1036"/>
      <c r="Z144" s="1036"/>
      <c r="AA144" s="1493"/>
      <c r="AB144" s="493"/>
      <c r="AC144" s="493"/>
      <c r="AD144" s="493"/>
      <c r="AE144" s="493"/>
    </row>
    <row r="145" spans="1:31" s="1720" customFormat="1" ht="11.25" customHeight="1">
      <c r="A145" s="880"/>
      <c r="B145" s="1497"/>
      <c r="C145" s="1497"/>
      <c r="D145" s="275"/>
      <c r="K145" s="1036"/>
      <c r="L145" s="1497"/>
      <c r="M145" s="1497"/>
      <c r="N145" s="1036"/>
      <c r="O145" s="1036"/>
      <c r="P145" s="1036"/>
      <c r="Q145" s="1036"/>
      <c r="R145" s="1497"/>
      <c r="S145" s="1036"/>
      <c r="T145" s="1036"/>
      <c r="U145" s="471"/>
      <c r="V145" s="1036"/>
      <c r="W145" s="1036"/>
      <c r="X145" s="1036"/>
      <c r="Y145" s="1036"/>
      <c r="Z145" s="1036"/>
      <c r="AA145" s="1493"/>
      <c r="AB145" s="493"/>
      <c r="AC145" s="493"/>
      <c r="AD145" s="493"/>
      <c r="AE145" s="493"/>
    </row>
    <row r="146" spans="1:31" s="1720" customFormat="1" ht="11.25" customHeight="1">
      <c r="A146" s="880"/>
      <c r="B146" s="1497"/>
      <c r="C146" s="1497"/>
      <c r="D146" s="275"/>
      <c r="K146" s="1036"/>
      <c r="L146" s="1497"/>
      <c r="M146" s="1497"/>
      <c r="N146" s="1036"/>
      <c r="O146" s="1036"/>
      <c r="P146" s="1036"/>
      <c r="Q146" s="1036"/>
      <c r="R146" s="1497"/>
      <c r="S146" s="1036"/>
      <c r="T146" s="1036"/>
      <c r="U146" s="471"/>
      <c r="V146" s="1036"/>
      <c r="W146" s="1036"/>
      <c r="X146" s="1036"/>
      <c r="Y146" s="1036"/>
      <c r="Z146" s="1036"/>
      <c r="AA146" s="1493"/>
      <c r="AB146" s="493"/>
      <c r="AC146" s="493"/>
      <c r="AD146" s="493"/>
      <c r="AE146" s="493"/>
    </row>
    <row r="147" spans="1:31" s="1720" customFormat="1" ht="11.25" customHeight="1">
      <c r="A147" s="880"/>
      <c r="B147" s="1497"/>
      <c r="C147" s="1497"/>
      <c r="D147" s="275"/>
      <c r="K147" s="1036"/>
      <c r="L147" s="1497"/>
      <c r="M147" s="1497"/>
      <c r="N147" s="1036"/>
      <c r="O147" s="1036"/>
      <c r="P147" s="1036"/>
      <c r="Q147" s="1036"/>
      <c r="R147" s="1497"/>
      <c r="S147" s="1036"/>
      <c r="T147" s="1036"/>
      <c r="U147" s="471"/>
      <c r="V147" s="1036"/>
      <c r="W147" s="1036"/>
      <c r="X147" s="1036"/>
      <c r="Y147" s="1036"/>
      <c r="Z147" s="1036"/>
      <c r="AA147" s="1493"/>
      <c r="AB147" s="493"/>
      <c r="AC147" s="493"/>
      <c r="AD147" s="493"/>
      <c r="AE147" s="493"/>
    </row>
    <row r="148" spans="1:31" s="1720" customFormat="1" ht="11.25" customHeight="1">
      <c r="A148" s="880"/>
      <c r="B148" s="1497"/>
      <c r="C148" s="1497"/>
      <c r="D148" s="275"/>
      <c r="K148" s="1036"/>
      <c r="L148" s="1497"/>
      <c r="M148" s="1497"/>
      <c r="N148" s="1036"/>
      <c r="O148" s="1036"/>
      <c r="P148" s="1036"/>
      <c r="Q148" s="1036"/>
      <c r="R148" s="1497"/>
      <c r="S148" s="1036"/>
      <c r="T148" s="1036"/>
      <c r="U148" s="471"/>
      <c r="V148" s="1036"/>
      <c r="W148" s="1036"/>
      <c r="X148" s="1036"/>
      <c r="Y148" s="1036"/>
      <c r="Z148" s="1036"/>
      <c r="AA148" s="1493"/>
      <c r="AB148" s="493"/>
      <c r="AC148" s="493"/>
      <c r="AD148" s="493"/>
      <c r="AE148" s="493"/>
    </row>
    <row r="149" spans="1:31" s="1720" customFormat="1" ht="11.25" customHeight="1">
      <c r="A149" s="880"/>
      <c r="B149" s="1497"/>
      <c r="C149" s="1497"/>
      <c r="D149" s="275"/>
      <c r="K149" s="1036"/>
      <c r="L149" s="1497"/>
      <c r="M149" s="1497"/>
      <c r="N149" s="1036"/>
      <c r="O149" s="1036"/>
      <c r="P149" s="1036"/>
      <c r="Q149" s="1036"/>
      <c r="R149" s="1497"/>
      <c r="S149" s="1036"/>
      <c r="T149" s="1036"/>
      <c r="U149" s="471"/>
      <c r="V149" s="1036"/>
      <c r="W149" s="1036"/>
      <c r="X149" s="1036"/>
      <c r="Y149" s="1036"/>
      <c r="Z149" s="1036"/>
      <c r="AA149" s="1493"/>
      <c r="AB149" s="493"/>
      <c r="AC149" s="493"/>
      <c r="AD149" s="493"/>
      <c r="AE149" s="493"/>
    </row>
    <row r="150" spans="1:31" s="1720" customFormat="1" ht="11.25" customHeight="1">
      <c r="A150" s="880"/>
      <c r="B150" s="1497"/>
      <c r="C150" s="1497"/>
      <c r="D150" s="275"/>
      <c r="K150" s="1036"/>
      <c r="L150" s="1497"/>
      <c r="M150" s="1497"/>
      <c r="N150" s="1036"/>
      <c r="O150" s="1036"/>
      <c r="P150" s="1036"/>
      <c r="Q150" s="1036"/>
      <c r="R150" s="1497"/>
      <c r="S150" s="1036"/>
      <c r="T150" s="1036"/>
      <c r="U150" s="471"/>
      <c r="V150" s="1036"/>
      <c r="W150" s="1036"/>
      <c r="X150" s="1036"/>
      <c r="Y150" s="1036"/>
      <c r="Z150" s="1036"/>
      <c r="AA150" s="1493"/>
      <c r="AB150" s="493"/>
      <c r="AC150" s="493"/>
      <c r="AD150" s="493"/>
      <c r="AE150" s="493"/>
    </row>
    <row r="151" spans="1:31" s="1720" customFormat="1" ht="11.25" customHeight="1">
      <c r="A151" s="880"/>
      <c r="B151" s="1497"/>
      <c r="C151" s="1497"/>
      <c r="D151" s="275"/>
      <c r="K151" s="1036"/>
      <c r="L151" s="1497"/>
      <c r="M151" s="1497"/>
      <c r="N151" s="1036"/>
      <c r="O151" s="1036"/>
      <c r="P151" s="1036"/>
      <c r="Q151" s="1036"/>
      <c r="R151" s="1497"/>
      <c r="S151" s="1036"/>
      <c r="T151" s="1036"/>
      <c r="U151" s="471"/>
      <c r="V151" s="1036"/>
      <c r="W151" s="1036"/>
      <c r="X151" s="1036"/>
      <c r="Y151" s="1036"/>
      <c r="Z151" s="1036"/>
      <c r="AA151" s="1493"/>
      <c r="AB151" s="493"/>
      <c r="AC151" s="493"/>
      <c r="AD151" s="493"/>
      <c r="AE151" s="493"/>
    </row>
    <row r="152" spans="1:31" s="1720" customFormat="1" ht="11.25" customHeight="1">
      <c r="A152" s="880"/>
      <c r="B152" s="1497"/>
      <c r="C152" s="1497"/>
      <c r="D152" s="275"/>
      <c r="K152" s="1036"/>
      <c r="L152" s="1497"/>
      <c r="M152" s="1497"/>
      <c r="N152" s="1036"/>
      <c r="O152" s="1036"/>
      <c r="P152" s="1036"/>
      <c r="Q152" s="1036"/>
      <c r="R152" s="1497"/>
      <c r="S152" s="1036"/>
      <c r="T152" s="1036"/>
      <c r="U152" s="471"/>
      <c r="V152" s="1036"/>
      <c r="W152" s="1036"/>
      <c r="X152" s="1036"/>
      <c r="Y152" s="1036"/>
      <c r="Z152" s="1036"/>
      <c r="AA152" s="1493"/>
      <c r="AB152" s="493"/>
      <c r="AC152" s="493"/>
      <c r="AD152" s="493"/>
      <c r="AE152" s="493"/>
    </row>
    <row r="153" spans="1:31" s="1720" customFormat="1" ht="11.25" customHeight="1">
      <c r="A153" s="880"/>
      <c r="B153" s="1497"/>
      <c r="C153" s="1497"/>
      <c r="D153" s="275"/>
      <c r="K153" s="1036"/>
      <c r="L153" s="1497"/>
      <c r="M153" s="1497"/>
      <c r="N153" s="1036"/>
      <c r="O153" s="1036"/>
      <c r="P153" s="1036"/>
      <c r="Q153" s="1036"/>
      <c r="R153" s="1497"/>
      <c r="S153" s="1036"/>
      <c r="T153" s="1036"/>
      <c r="U153" s="471"/>
      <c r="V153" s="1036"/>
      <c r="W153" s="1036"/>
      <c r="X153" s="1036"/>
      <c r="Y153" s="1036"/>
      <c r="Z153" s="1036"/>
      <c r="AA153" s="1493"/>
      <c r="AB153" s="493"/>
      <c r="AC153" s="493"/>
      <c r="AD153" s="493"/>
      <c r="AE153" s="493"/>
    </row>
    <row r="154" spans="1:31" s="1720" customFormat="1" ht="11.25" customHeight="1">
      <c r="A154" s="880"/>
      <c r="B154" s="1497"/>
      <c r="C154" s="1497"/>
      <c r="D154" s="275"/>
      <c r="K154" s="1036"/>
      <c r="L154" s="1497"/>
      <c r="M154" s="1497"/>
      <c r="N154" s="1036"/>
      <c r="O154" s="1036"/>
      <c r="P154" s="1036"/>
      <c r="Q154" s="1036"/>
      <c r="R154" s="1497"/>
      <c r="S154" s="1036"/>
      <c r="T154" s="1036"/>
      <c r="U154" s="471"/>
      <c r="V154" s="1036"/>
      <c r="W154" s="1036"/>
      <c r="X154" s="1036"/>
      <c r="Y154" s="1036"/>
      <c r="Z154" s="1036"/>
      <c r="AA154" s="1493"/>
      <c r="AB154" s="493"/>
      <c r="AC154" s="493"/>
      <c r="AD154" s="493"/>
      <c r="AE154" s="493"/>
    </row>
    <row r="155" spans="1:31" s="1720" customFormat="1" ht="11.25" customHeight="1">
      <c r="A155" s="880"/>
      <c r="B155" s="1497"/>
      <c r="C155" s="1497"/>
      <c r="D155" s="275"/>
      <c r="K155" s="1036"/>
      <c r="L155" s="1497"/>
      <c r="M155" s="1497"/>
      <c r="N155" s="1036"/>
      <c r="O155" s="1036"/>
      <c r="P155" s="1036"/>
      <c r="Q155" s="1036"/>
      <c r="R155" s="1497"/>
      <c r="S155" s="1036"/>
      <c r="T155" s="1036"/>
      <c r="U155" s="471"/>
      <c r="V155" s="1036"/>
      <c r="W155" s="1036"/>
      <c r="X155" s="1036"/>
      <c r="Y155" s="1036"/>
      <c r="Z155" s="1036"/>
      <c r="AA155" s="1493"/>
      <c r="AB155" s="493"/>
      <c r="AC155" s="493"/>
      <c r="AD155" s="493"/>
      <c r="AE155" s="493"/>
    </row>
    <row r="156" spans="1:31" s="1720" customFormat="1" ht="11.25" customHeight="1">
      <c r="A156" s="880"/>
      <c r="B156" s="1497"/>
      <c r="C156" s="1497"/>
      <c r="D156" s="275"/>
      <c r="K156" s="1036"/>
      <c r="L156" s="1497"/>
      <c r="M156" s="1497"/>
      <c r="N156" s="1036"/>
      <c r="O156" s="1036"/>
      <c r="P156" s="1036"/>
      <c r="Q156" s="1036"/>
      <c r="R156" s="1497"/>
      <c r="S156" s="1036"/>
      <c r="T156" s="1036"/>
      <c r="U156" s="471"/>
      <c r="V156" s="1036"/>
      <c r="W156" s="1036"/>
      <c r="X156" s="1036"/>
      <c r="Y156" s="1036"/>
      <c r="Z156" s="1036"/>
      <c r="AA156" s="1493"/>
      <c r="AB156" s="493"/>
      <c r="AC156" s="493"/>
      <c r="AD156" s="493"/>
      <c r="AE156" s="493"/>
    </row>
    <row r="157" spans="1:31" s="1720" customFormat="1" ht="11.25" customHeight="1">
      <c r="A157" s="880"/>
      <c r="B157" s="1497"/>
      <c r="C157" s="1497"/>
      <c r="D157" s="275"/>
      <c r="K157" s="1036"/>
      <c r="L157" s="1497"/>
      <c r="M157" s="1497"/>
      <c r="N157" s="1036"/>
      <c r="O157" s="1036"/>
      <c r="P157" s="1036"/>
      <c r="Q157" s="1036"/>
      <c r="R157" s="1497"/>
      <c r="S157" s="1036"/>
      <c r="T157" s="1036"/>
      <c r="U157" s="471"/>
      <c r="V157" s="1036"/>
      <c r="W157" s="1036"/>
      <c r="X157" s="1036"/>
      <c r="Y157" s="1036"/>
      <c r="Z157" s="1036"/>
      <c r="AA157" s="1493"/>
      <c r="AB157" s="493"/>
      <c r="AC157" s="493"/>
      <c r="AD157" s="493"/>
      <c r="AE157" s="493"/>
    </row>
    <row r="158" spans="1:31" s="1720" customFormat="1" ht="11.25" customHeight="1">
      <c r="A158" s="880"/>
      <c r="B158" s="1497"/>
      <c r="C158" s="1497"/>
      <c r="D158" s="275"/>
      <c r="K158" s="1036"/>
      <c r="L158" s="1497"/>
      <c r="M158" s="1497"/>
      <c r="N158" s="1036"/>
      <c r="O158" s="1036"/>
      <c r="P158" s="1036"/>
      <c r="Q158" s="1036"/>
      <c r="R158" s="1497"/>
      <c r="S158" s="1036"/>
      <c r="T158" s="1036"/>
      <c r="U158" s="471"/>
      <c r="V158" s="1036"/>
      <c r="W158" s="1036"/>
      <c r="X158" s="1036"/>
      <c r="Y158" s="1036"/>
      <c r="Z158" s="1036"/>
      <c r="AA158" s="1493"/>
      <c r="AB158" s="493"/>
      <c r="AC158" s="493"/>
      <c r="AD158" s="493"/>
      <c r="AE158" s="493"/>
    </row>
    <row r="159" spans="1:31" s="1720" customFormat="1" ht="11.25" customHeight="1">
      <c r="A159" s="880"/>
      <c r="B159" s="1497"/>
      <c r="C159" s="1497"/>
      <c r="D159" s="275"/>
      <c r="K159" s="1036"/>
      <c r="L159" s="1497"/>
      <c r="M159" s="1497"/>
      <c r="N159" s="1036"/>
      <c r="O159" s="1036"/>
      <c r="P159" s="1036"/>
      <c r="Q159" s="1036"/>
      <c r="R159" s="1497"/>
      <c r="S159" s="1036"/>
      <c r="T159" s="1036"/>
      <c r="U159" s="471"/>
      <c r="V159" s="1036"/>
      <c r="W159" s="1036"/>
      <c r="X159" s="1036"/>
      <c r="Y159" s="1036"/>
      <c r="Z159" s="1036"/>
      <c r="AA159" s="1493"/>
      <c r="AB159" s="493"/>
      <c r="AC159" s="493"/>
      <c r="AD159" s="493"/>
      <c r="AE159" s="493"/>
    </row>
    <row r="160" spans="1:31" s="1720" customFormat="1" ht="11.25" customHeight="1">
      <c r="A160" s="880"/>
      <c r="B160" s="1497"/>
      <c r="C160" s="1497"/>
      <c r="D160" s="275"/>
      <c r="K160" s="1036"/>
      <c r="L160" s="1497"/>
      <c r="M160" s="1497"/>
      <c r="N160" s="1036"/>
      <c r="O160" s="1036"/>
      <c r="P160" s="1036"/>
      <c r="Q160" s="1036"/>
      <c r="R160" s="1497"/>
      <c r="S160" s="1036"/>
      <c r="T160" s="1036"/>
      <c r="U160" s="471"/>
      <c r="V160" s="1036"/>
      <c r="W160" s="1036"/>
      <c r="X160" s="1036"/>
      <c r="Y160" s="1036"/>
      <c r="Z160" s="1036"/>
      <c r="AA160" s="1493"/>
      <c r="AB160" s="493"/>
      <c r="AC160" s="493"/>
      <c r="AD160" s="493"/>
      <c r="AE160" s="493"/>
    </row>
    <row r="161" spans="1:31" s="1720" customFormat="1" ht="11.25" customHeight="1">
      <c r="A161" s="880"/>
      <c r="B161" s="1497"/>
      <c r="C161" s="1497"/>
      <c r="D161" s="275"/>
      <c r="K161" s="1036"/>
      <c r="L161" s="1497"/>
      <c r="M161" s="1497"/>
      <c r="N161" s="1036"/>
      <c r="O161" s="1036"/>
      <c r="P161" s="1036"/>
      <c r="Q161" s="1036"/>
      <c r="R161" s="1497"/>
      <c r="S161" s="1036"/>
      <c r="T161" s="1036"/>
      <c r="U161" s="471"/>
      <c r="V161" s="1036"/>
      <c r="W161" s="1036"/>
      <c r="X161" s="1036"/>
      <c r="Y161" s="1036"/>
      <c r="Z161" s="1036"/>
      <c r="AA161" s="1493"/>
      <c r="AB161" s="493"/>
      <c r="AC161" s="493"/>
      <c r="AD161" s="493"/>
      <c r="AE161" s="493"/>
    </row>
    <row r="162" spans="1:31" s="1720" customFormat="1" ht="11.25" customHeight="1">
      <c r="A162" s="880"/>
      <c r="B162" s="1497"/>
      <c r="C162" s="1497"/>
      <c r="D162" s="275"/>
      <c r="K162" s="1036"/>
      <c r="L162" s="1497"/>
      <c r="M162" s="1497"/>
      <c r="N162" s="1036"/>
      <c r="O162" s="1036"/>
      <c r="P162" s="1036"/>
      <c r="Q162" s="1036"/>
      <c r="R162" s="1497"/>
      <c r="S162" s="1036"/>
      <c r="T162" s="1036"/>
      <c r="U162" s="471"/>
      <c r="V162" s="1036"/>
      <c r="W162" s="1036"/>
      <c r="X162" s="1036"/>
      <c r="Y162" s="1036"/>
      <c r="Z162" s="1036"/>
      <c r="AA162" s="1493"/>
      <c r="AB162" s="493"/>
      <c r="AC162" s="493"/>
      <c r="AD162" s="493"/>
      <c r="AE162" s="493"/>
    </row>
    <row r="163" spans="1:31" s="1720" customFormat="1" ht="11.25" customHeight="1">
      <c r="A163" s="880"/>
      <c r="B163" s="1497"/>
      <c r="C163" s="1497"/>
      <c r="D163" s="275"/>
      <c r="K163" s="1036"/>
      <c r="L163" s="1497"/>
      <c r="M163" s="1497"/>
      <c r="N163" s="1036"/>
      <c r="O163" s="1036"/>
      <c r="P163" s="1036"/>
      <c r="Q163" s="1036"/>
      <c r="R163" s="1497"/>
      <c r="S163" s="1036"/>
      <c r="T163" s="1036"/>
      <c r="U163" s="471"/>
      <c r="V163" s="1036"/>
      <c r="W163" s="1036"/>
      <c r="X163" s="1036"/>
      <c r="Y163" s="1036"/>
      <c r="Z163" s="1036"/>
      <c r="AA163" s="1493"/>
      <c r="AB163" s="493"/>
      <c r="AC163" s="493"/>
      <c r="AD163" s="493"/>
      <c r="AE163" s="493"/>
    </row>
    <row r="164" spans="1:31" s="1720" customFormat="1" ht="11.25" customHeight="1">
      <c r="A164" s="880"/>
      <c r="B164" s="1497"/>
      <c r="C164" s="1497"/>
      <c r="D164" s="275"/>
      <c r="K164" s="1036"/>
      <c r="L164" s="1497"/>
      <c r="M164" s="1497"/>
      <c r="N164" s="1036"/>
      <c r="O164" s="1036"/>
      <c r="P164" s="1036"/>
      <c r="Q164" s="1036"/>
      <c r="R164" s="1497"/>
      <c r="S164" s="1036"/>
      <c r="T164" s="1036"/>
      <c r="U164" s="471"/>
      <c r="V164" s="1036"/>
      <c r="W164" s="1036"/>
      <c r="X164" s="1036"/>
      <c r="Y164" s="1036"/>
      <c r="Z164" s="1036"/>
      <c r="AA164" s="1493"/>
      <c r="AB164" s="493"/>
      <c r="AC164" s="493"/>
      <c r="AD164" s="493"/>
      <c r="AE164" s="493"/>
    </row>
    <row r="165" spans="1:31" s="1720" customFormat="1" ht="11.25" customHeight="1">
      <c r="A165" s="880"/>
      <c r="B165" s="1497"/>
      <c r="C165" s="1497"/>
      <c r="D165" s="275"/>
      <c r="K165" s="1036"/>
      <c r="L165" s="1497"/>
      <c r="M165" s="1497"/>
      <c r="N165" s="1036"/>
      <c r="O165" s="1036"/>
      <c r="P165" s="1036"/>
      <c r="Q165" s="1036"/>
      <c r="R165" s="1497"/>
      <c r="S165" s="1036"/>
      <c r="T165" s="1036"/>
      <c r="U165" s="471"/>
      <c r="V165" s="1036"/>
      <c r="W165" s="1036"/>
      <c r="X165" s="1036"/>
      <c r="Y165" s="1036"/>
      <c r="Z165" s="1036"/>
      <c r="AA165" s="1493"/>
      <c r="AB165" s="493"/>
      <c r="AC165" s="493"/>
      <c r="AD165" s="493"/>
      <c r="AE165" s="493"/>
    </row>
    <row r="166" spans="1:31" s="1720" customFormat="1" ht="11.25" customHeight="1">
      <c r="A166" s="880"/>
      <c r="B166" s="1497"/>
      <c r="C166" s="1497"/>
      <c r="D166" s="275"/>
      <c r="K166" s="1036"/>
      <c r="L166" s="1497"/>
      <c r="M166" s="1497"/>
      <c r="N166" s="1036"/>
      <c r="O166" s="1036"/>
      <c r="P166" s="1036"/>
      <c r="Q166" s="1036"/>
      <c r="R166" s="1497"/>
      <c r="S166" s="1036"/>
      <c r="T166" s="1036"/>
      <c r="U166" s="471"/>
      <c r="V166" s="1036"/>
      <c r="W166" s="1036"/>
      <c r="X166" s="1036"/>
      <c r="Y166" s="1036"/>
      <c r="Z166" s="1036"/>
      <c r="AA166" s="1493"/>
      <c r="AB166" s="493"/>
      <c r="AC166" s="493"/>
      <c r="AD166" s="493"/>
      <c r="AE166" s="493"/>
    </row>
    <row r="167" spans="1:31" s="1720" customFormat="1" ht="11.25" customHeight="1">
      <c r="A167" s="880"/>
      <c r="B167" s="1497"/>
      <c r="C167" s="1497"/>
      <c r="D167" s="275"/>
      <c r="K167" s="1036"/>
      <c r="L167" s="1497"/>
      <c r="M167" s="1497"/>
      <c r="N167" s="1036"/>
      <c r="O167" s="1036"/>
      <c r="P167" s="1036"/>
      <c r="Q167" s="1036"/>
      <c r="R167" s="1497"/>
      <c r="S167" s="1036"/>
      <c r="T167" s="1036"/>
      <c r="U167" s="471"/>
      <c r="V167" s="1036"/>
      <c r="W167" s="1036"/>
      <c r="X167" s="1036"/>
      <c r="Y167" s="1036"/>
      <c r="Z167" s="1036"/>
      <c r="AA167" s="1493"/>
      <c r="AB167" s="493"/>
      <c r="AC167" s="493"/>
      <c r="AD167" s="493"/>
      <c r="AE167" s="493"/>
    </row>
    <row r="168" spans="1:31" s="1720" customFormat="1" ht="11.25" customHeight="1">
      <c r="A168" s="880"/>
      <c r="B168" s="1497"/>
      <c r="C168" s="1497"/>
      <c r="D168" s="275"/>
      <c r="K168" s="1036"/>
      <c r="L168" s="1497"/>
      <c r="M168" s="1497"/>
      <c r="N168" s="1036"/>
      <c r="O168" s="1036"/>
      <c r="P168" s="1036"/>
      <c r="Q168" s="1036"/>
      <c r="R168" s="1497"/>
      <c r="S168" s="1036"/>
      <c r="T168" s="1036"/>
      <c r="U168" s="471"/>
      <c r="V168" s="1036"/>
      <c r="W168" s="1036"/>
      <c r="X168" s="1036"/>
      <c r="Y168" s="1036"/>
      <c r="Z168" s="1036"/>
      <c r="AA168" s="1493"/>
      <c r="AB168" s="493"/>
      <c r="AC168" s="493"/>
      <c r="AD168" s="493"/>
      <c r="AE168" s="493"/>
    </row>
    <row r="169" spans="1:31" s="1720" customFormat="1" ht="11.25" customHeight="1">
      <c r="A169" s="880"/>
      <c r="B169" s="1497"/>
      <c r="C169" s="1497"/>
      <c r="D169" s="275"/>
      <c r="K169" s="1036"/>
      <c r="L169" s="1497"/>
      <c r="M169" s="1497"/>
      <c r="N169" s="1036"/>
      <c r="O169" s="1036"/>
      <c r="P169" s="1036"/>
      <c r="Q169" s="1036"/>
      <c r="R169" s="1497"/>
      <c r="S169" s="1036"/>
      <c r="T169" s="1036"/>
      <c r="U169" s="471"/>
      <c r="V169" s="1036"/>
      <c r="W169" s="1036"/>
      <c r="X169" s="1036"/>
      <c r="Y169" s="1036"/>
      <c r="Z169" s="1036"/>
      <c r="AA169" s="1493"/>
      <c r="AB169" s="493"/>
      <c r="AC169" s="493"/>
      <c r="AD169" s="493"/>
      <c r="AE169" s="493"/>
    </row>
    <row r="170" spans="1:31" s="1720" customFormat="1" ht="11.25" customHeight="1">
      <c r="A170" s="880"/>
      <c r="B170" s="1497"/>
      <c r="C170" s="1497"/>
      <c r="D170" s="275"/>
      <c r="K170" s="1036"/>
      <c r="L170" s="1497"/>
      <c r="M170" s="1497"/>
      <c r="N170" s="1036"/>
      <c r="O170" s="1036"/>
      <c r="P170" s="1036"/>
      <c r="Q170" s="1036"/>
      <c r="R170" s="1497"/>
      <c r="S170" s="1036"/>
      <c r="T170" s="1036"/>
      <c r="U170" s="471"/>
      <c r="V170" s="1036"/>
      <c r="W170" s="1036"/>
      <c r="X170" s="1036"/>
      <c r="Y170" s="1036"/>
      <c r="Z170" s="1036"/>
      <c r="AA170" s="1493"/>
      <c r="AB170" s="493"/>
      <c r="AC170" s="493"/>
      <c r="AD170" s="493"/>
      <c r="AE170" s="493"/>
    </row>
    <row r="171" spans="1:31" s="1720" customFormat="1" ht="11.25" customHeight="1">
      <c r="A171" s="880"/>
      <c r="B171" s="1497"/>
      <c r="C171" s="1497"/>
      <c r="D171" s="275"/>
      <c r="K171" s="1036"/>
      <c r="L171" s="1497"/>
      <c r="M171" s="1497"/>
      <c r="N171" s="1036"/>
      <c r="O171" s="1036"/>
      <c r="P171" s="1036"/>
      <c r="Q171" s="1036"/>
      <c r="R171" s="1497"/>
      <c r="S171" s="1036"/>
      <c r="T171" s="1036"/>
      <c r="U171" s="471"/>
      <c r="V171" s="1036"/>
      <c r="W171" s="1036"/>
      <c r="X171" s="1036"/>
      <c r="Y171" s="1036"/>
      <c r="Z171" s="1036"/>
      <c r="AA171" s="1493"/>
      <c r="AB171" s="493"/>
      <c r="AC171" s="493"/>
      <c r="AD171" s="493"/>
      <c r="AE171" s="493"/>
    </row>
    <row r="172" spans="1:31" s="1720" customFormat="1" ht="11.25" customHeight="1">
      <c r="A172" s="880"/>
      <c r="B172" s="1497"/>
      <c r="C172" s="1497"/>
      <c r="D172" s="275"/>
      <c r="K172" s="1036"/>
      <c r="L172" s="1497"/>
      <c r="M172" s="1497"/>
      <c r="N172" s="1036"/>
      <c r="O172" s="1036"/>
      <c r="P172" s="1036"/>
      <c r="Q172" s="1036"/>
      <c r="R172" s="1497"/>
      <c r="S172" s="1036"/>
      <c r="T172" s="1036"/>
      <c r="U172" s="471"/>
      <c r="V172" s="1036"/>
      <c r="W172" s="1036"/>
      <c r="X172" s="1036"/>
      <c r="Y172" s="1036"/>
      <c r="Z172" s="1036"/>
      <c r="AA172" s="1493"/>
      <c r="AB172" s="493"/>
      <c r="AC172" s="493"/>
      <c r="AD172" s="493"/>
      <c r="AE172" s="493"/>
    </row>
    <row r="173" spans="1:31" s="1720" customFormat="1" ht="11.25" customHeight="1">
      <c r="A173" s="880"/>
      <c r="B173" s="1497"/>
      <c r="C173" s="1497"/>
      <c r="D173" s="275"/>
      <c r="K173" s="1036"/>
      <c r="L173" s="1497"/>
      <c r="M173" s="1497"/>
      <c r="N173" s="1036"/>
      <c r="O173" s="1036"/>
      <c r="P173" s="1036"/>
      <c r="Q173" s="1036"/>
      <c r="R173" s="1497"/>
      <c r="S173" s="1036"/>
      <c r="T173" s="1036"/>
      <c r="U173" s="471"/>
      <c r="V173" s="1036"/>
      <c r="W173" s="1036"/>
      <c r="X173" s="1036"/>
      <c r="Y173" s="1036"/>
      <c r="Z173" s="1036"/>
      <c r="AA173" s="1493"/>
      <c r="AB173" s="493"/>
      <c r="AC173" s="493"/>
      <c r="AD173" s="493"/>
      <c r="AE173" s="493"/>
    </row>
    <row r="174" spans="1:31" s="1720" customFormat="1" ht="11.25" customHeight="1">
      <c r="A174" s="880"/>
      <c r="B174" s="1497"/>
      <c r="C174" s="1497"/>
      <c r="D174" s="275"/>
      <c r="K174" s="1036"/>
      <c r="L174" s="1497"/>
      <c r="M174" s="1497"/>
      <c r="N174" s="1036"/>
      <c r="O174" s="1036"/>
      <c r="P174" s="1036"/>
      <c r="Q174" s="1036"/>
      <c r="R174" s="1497"/>
      <c r="S174" s="1036"/>
      <c r="T174" s="1036"/>
      <c r="U174" s="471"/>
      <c r="V174" s="1036"/>
      <c r="W174" s="1036"/>
      <c r="X174" s="1036"/>
      <c r="Y174" s="1036"/>
      <c r="Z174" s="1036"/>
      <c r="AA174" s="1493"/>
      <c r="AB174" s="493"/>
      <c r="AC174" s="493"/>
      <c r="AD174" s="493"/>
      <c r="AE174" s="493"/>
    </row>
    <row r="175" spans="1:31" s="1720" customFormat="1" ht="11.25" customHeight="1">
      <c r="A175" s="880"/>
      <c r="B175" s="1497"/>
      <c r="C175" s="1497"/>
      <c r="D175" s="275"/>
      <c r="K175" s="1036"/>
      <c r="L175" s="1497"/>
      <c r="M175" s="1497"/>
      <c r="N175" s="1036"/>
      <c r="O175" s="1036"/>
      <c r="P175" s="1036"/>
      <c r="Q175" s="1036"/>
      <c r="R175" s="1497"/>
      <c r="S175" s="1036"/>
      <c r="T175" s="1036"/>
      <c r="U175" s="471"/>
      <c r="V175" s="1036"/>
      <c r="W175" s="1036"/>
      <c r="X175" s="1036"/>
      <c r="Y175" s="1036"/>
      <c r="Z175" s="1036"/>
      <c r="AA175" s="1493"/>
      <c r="AB175" s="493"/>
      <c r="AC175" s="493"/>
      <c r="AD175" s="493"/>
      <c r="AE175" s="493"/>
    </row>
    <row r="176" spans="1:31" s="1720" customFormat="1" ht="11.25" customHeight="1">
      <c r="A176" s="880"/>
      <c r="B176" s="1497"/>
      <c r="C176" s="1497"/>
      <c r="D176" s="275"/>
      <c r="K176" s="1036"/>
      <c r="L176" s="1497"/>
      <c r="M176" s="1497"/>
      <c r="N176" s="1036"/>
      <c r="O176" s="1036"/>
      <c r="P176" s="1036"/>
      <c r="Q176" s="1036"/>
      <c r="R176" s="1497"/>
      <c r="S176" s="1036"/>
      <c r="T176" s="1036"/>
      <c r="U176" s="471"/>
      <c r="V176" s="1036"/>
      <c r="W176" s="1036"/>
      <c r="X176" s="1036"/>
      <c r="Y176" s="1036"/>
      <c r="Z176" s="1036"/>
      <c r="AA176" s="1493"/>
      <c r="AB176" s="493"/>
      <c r="AC176" s="493"/>
      <c r="AD176" s="493"/>
      <c r="AE176" s="493"/>
    </row>
    <row r="177" spans="1:31" s="1720" customFormat="1" ht="11.25" customHeight="1">
      <c r="A177" s="880"/>
      <c r="B177" s="1497"/>
      <c r="C177" s="1497"/>
      <c r="D177" s="275"/>
      <c r="K177" s="1036"/>
      <c r="L177" s="1497"/>
      <c r="M177" s="1497"/>
      <c r="N177" s="1036"/>
      <c r="O177" s="1036"/>
      <c r="P177" s="1036"/>
      <c r="Q177" s="1036"/>
      <c r="R177" s="1497"/>
      <c r="S177" s="1036"/>
      <c r="T177" s="1036"/>
      <c r="U177" s="471"/>
      <c r="V177" s="1036"/>
      <c r="W177" s="1036"/>
      <c r="X177" s="1036"/>
      <c r="Y177" s="1036"/>
      <c r="Z177" s="1036"/>
      <c r="AA177" s="1493"/>
      <c r="AB177" s="493"/>
      <c r="AC177" s="493"/>
      <c r="AD177" s="493"/>
      <c r="AE177" s="493"/>
    </row>
    <row r="178" spans="1:31" s="1720" customFormat="1" ht="11.25" customHeight="1">
      <c r="A178" s="880"/>
      <c r="B178" s="1497"/>
      <c r="C178" s="1497"/>
      <c r="D178" s="275"/>
      <c r="K178" s="1036"/>
      <c r="L178" s="1497"/>
      <c r="M178" s="1497"/>
      <c r="N178" s="1036"/>
      <c r="O178" s="1036"/>
      <c r="P178" s="1036"/>
      <c r="Q178" s="1036"/>
      <c r="R178" s="1497"/>
      <c r="S178" s="1036"/>
      <c r="T178" s="1036"/>
      <c r="U178" s="471"/>
      <c r="V178" s="1036"/>
      <c r="W178" s="1036"/>
      <c r="X178" s="1036"/>
      <c r="Y178" s="1036"/>
      <c r="Z178" s="1036"/>
      <c r="AA178" s="1493"/>
      <c r="AB178" s="493"/>
      <c r="AC178" s="493"/>
      <c r="AD178" s="493"/>
      <c r="AE178" s="493"/>
    </row>
    <row r="179" spans="1:31" s="1720" customFormat="1" ht="11.25" customHeight="1">
      <c r="A179" s="880"/>
      <c r="B179" s="1497"/>
      <c r="C179" s="1497"/>
      <c r="D179" s="275"/>
      <c r="K179" s="1036"/>
      <c r="L179" s="1497"/>
      <c r="M179" s="1497"/>
      <c r="N179" s="1036"/>
      <c r="O179" s="1036"/>
      <c r="P179" s="1036"/>
      <c r="Q179" s="1036"/>
      <c r="R179" s="1497"/>
      <c r="S179" s="1036"/>
      <c r="T179" s="1036"/>
      <c r="U179" s="471"/>
      <c r="V179" s="1036"/>
      <c r="W179" s="1036"/>
      <c r="X179" s="1036"/>
      <c r="Y179" s="1036"/>
      <c r="Z179" s="1036"/>
      <c r="AA179" s="1493"/>
      <c r="AB179" s="493"/>
      <c r="AC179" s="493"/>
      <c r="AD179" s="493"/>
      <c r="AE179" s="493"/>
    </row>
    <row r="180" spans="1:31" s="1720" customFormat="1" ht="11.25" customHeight="1">
      <c r="A180" s="880"/>
      <c r="B180" s="1497"/>
      <c r="C180" s="1497"/>
      <c r="D180" s="275"/>
      <c r="K180" s="1036"/>
      <c r="L180" s="1497"/>
      <c r="M180" s="1497"/>
      <c r="N180" s="1036"/>
      <c r="O180" s="1036"/>
      <c r="P180" s="1036"/>
      <c r="Q180" s="1036"/>
      <c r="R180" s="1497"/>
      <c r="S180" s="1036"/>
      <c r="T180" s="1036"/>
      <c r="U180" s="471"/>
      <c r="V180" s="1036"/>
      <c r="W180" s="1036"/>
      <c r="X180" s="1036"/>
      <c r="Y180" s="1036"/>
      <c r="Z180" s="1036"/>
      <c r="AA180" s="1493"/>
      <c r="AB180" s="493"/>
      <c r="AC180" s="493"/>
      <c r="AD180" s="493"/>
      <c r="AE180" s="493"/>
    </row>
    <row r="181" spans="1:31" s="1720" customFormat="1" ht="11.25" customHeight="1">
      <c r="A181" s="880"/>
      <c r="B181" s="1497"/>
      <c r="C181" s="1497"/>
      <c r="D181" s="275"/>
      <c r="K181" s="1036"/>
      <c r="L181" s="1497"/>
      <c r="M181" s="1497"/>
      <c r="N181" s="1036"/>
      <c r="O181" s="1036"/>
      <c r="P181" s="1036"/>
      <c r="Q181" s="1036"/>
      <c r="R181" s="1497"/>
      <c r="S181" s="1036"/>
      <c r="T181" s="1036"/>
      <c r="U181" s="471"/>
      <c r="V181" s="1036"/>
      <c r="W181" s="1036"/>
      <c r="X181" s="1036"/>
      <c r="Y181" s="1036"/>
      <c r="Z181" s="1036"/>
      <c r="AA181" s="1493"/>
      <c r="AB181" s="493"/>
      <c r="AC181" s="493"/>
      <c r="AD181" s="493"/>
      <c r="AE181" s="493"/>
    </row>
    <row r="182" spans="1:31" s="1720" customFormat="1" ht="11.25" customHeight="1">
      <c r="A182" s="880"/>
      <c r="B182" s="1497"/>
      <c r="C182" s="1497"/>
      <c r="D182" s="275"/>
      <c r="K182" s="1036"/>
      <c r="L182" s="1497"/>
      <c r="M182" s="1497"/>
      <c r="N182" s="1036"/>
      <c r="O182" s="1036"/>
      <c r="P182" s="1036"/>
      <c r="Q182" s="1036"/>
      <c r="R182" s="1497"/>
      <c r="S182" s="1036"/>
      <c r="T182" s="1036"/>
      <c r="U182" s="471"/>
      <c r="V182" s="1036"/>
      <c r="W182" s="1036"/>
      <c r="X182" s="1036"/>
      <c r="Y182" s="1036"/>
      <c r="Z182" s="1036"/>
      <c r="AA182" s="1493"/>
      <c r="AB182" s="493"/>
      <c r="AC182" s="493"/>
      <c r="AD182" s="493"/>
      <c r="AE182" s="493"/>
    </row>
    <row r="183" spans="1:31" s="1720" customFormat="1" ht="11.25" customHeight="1">
      <c r="A183" s="880"/>
      <c r="B183" s="1497"/>
      <c r="C183" s="1497"/>
      <c r="D183" s="275"/>
      <c r="K183" s="1036"/>
      <c r="L183" s="1497"/>
      <c r="M183" s="1497"/>
      <c r="N183" s="1036"/>
      <c r="O183" s="1036"/>
      <c r="P183" s="1036"/>
      <c r="Q183" s="1036"/>
      <c r="R183" s="1497"/>
      <c r="S183" s="1036"/>
      <c r="T183" s="1036"/>
      <c r="U183" s="471"/>
      <c r="V183" s="1036"/>
      <c r="W183" s="1036"/>
      <c r="X183" s="1036"/>
      <c r="Y183" s="1036"/>
      <c r="Z183" s="1036"/>
      <c r="AA183" s="1493"/>
      <c r="AB183" s="493"/>
      <c r="AC183" s="493"/>
      <c r="AD183" s="493"/>
      <c r="AE183" s="493"/>
    </row>
    <row r="184" spans="1:31" s="1720" customFormat="1" ht="11.25" customHeight="1">
      <c r="A184" s="880"/>
      <c r="B184" s="1497"/>
      <c r="C184" s="1497"/>
      <c r="D184" s="275"/>
      <c r="K184" s="1036"/>
      <c r="L184" s="1497"/>
      <c r="M184" s="1497"/>
      <c r="N184" s="1036"/>
      <c r="O184" s="1036"/>
      <c r="P184" s="1036"/>
      <c r="Q184" s="1036"/>
      <c r="R184" s="1497"/>
      <c r="S184" s="1036"/>
      <c r="T184" s="1036"/>
      <c r="U184" s="471"/>
      <c r="V184" s="1036"/>
      <c r="W184" s="1036"/>
      <c r="X184" s="1036"/>
      <c r="Y184" s="1036"/>
      <c r="Z184" s="1036"/>
      <c r="AA184" s="1493"/>
      <c r="AB184" s="493"/>
      <c r="AC184" s="493"/>
      <c r="AD184" s="493"/>
      <c r="AE184" s="493"/>
    </row>
    <row r="185" spans="1:31" s="1720" customFormat="1" ht="11.25" customHeight="1">
      <c r="A185" s="880"/>
      <c r="B185" s="1497"/>
      <c r="C185" s="1497"/>
      <c r="D185" s="275"/>
      <c r="K185" s="1036"/>
      <c r="L185" s="1497"/>
      <c r="M185" s="1497"/>
      <c r="N185" s="1036"/>
      <c r="O185" s="1036"/>
      <c r="P185" s="1036"/>
      <c r="Q185" s="1036"/>
      <c r="R185" s="1497"/>
      <c r="S185" s="1036"/>
      <c r="T185" s="1036"/>
      <c r="U185" s="471"/>
      <c r="V185" s="1036"/>
      <c r="W185" s="1036"/>
      <c r="X185" s="1036"/>
      <c r="Y185" s="1036"/>
      <c r="Z185" s="1036"/>
      <c r="AA185" s="1493"/>
      <c r="AB185" s="493"/>
      <c r="AC185" s="493"/>
      <c r="AD185" s="493"/>
      <c r="AE185" s="493"/>
    </row>
    <row r="186" spans="1:31" s="1720" customFormat="1" ht="11.25" customHeight="1">
      <c r="A186" s="880"/>
      <c r="B186" s="1497"/>
      <c r="C186" s="1497"/>
      <c r="D186" s="275"/>
      <c r="K186" s="1036"/>
      <c r="L186" s="1497"/>
      <c r="M186" s="1497"/>
      <c r="N186" s="1036"/>
      <c r="O186" s="1036"/>
      <c r="P186" s="1036"/>
      <c r="Q186" s="1036"/>
      <c r="R186" s="1497"/>
      <c r="S186" s="1036"/>
      <c r="T186" s="1036"/>
      <c r="U186" s="471"/>
      <c r="V186" s="1036"/>
      <c r="W186" s="1036"/>
      <c r="X186" s="1036"/>
      <c r="Y186" s="1036"/>
      <c r="Z186" s="1036"/>
      <c r="AA186" s="1493"/>
      <c r="AB186" s="493"/>
      <c r="AC186" s="493"/>
      <c r="AD186" s="493"/>
      <c r="AE186" s="493"/>
    </row>
    <row r="187" spans="1:31" s="1720" customFormat="1" ht="11.25" customHeight="1">
      <c r="A187" s="880"/>
      <c r="B187" s="1497"/>
      <c r="C187" s="1497"/>
      <c r="D187" s="275"/>
      <c r="K187" s="1036"/>
      <c r="L187" s="1497"/>
      <c r="M187" s="1497"/>
      <c r="N187" s="1036"/>
      <c r="O187" s="1036"/>
      <c r="P187" s="1036"/>
      <c r="Q187" s="1036"/>
      <c r="R187" s="1497"/>
      <c r="S187" s="1036"/>
      <c r="T187" s="1036"/>
      <c r="U187" s="471"/>
      <c r="V187" s="1036"/>
      <c r="W187" s="1036"/>
      <c r="X187" s="1036"/>
      <c r="Y187" s="1036"/>
      <c r="Z187" s="1036"/>
      <c r="AA187" s="1493"/>
      <c r="AB187" s="493"/>
      <c r="AC187" s="493"/>
      <c r="AD187" s="493"/>
      <c r="AE187" s="493"/>
    </row>
    <row r="188" spans="1:31" s="1720" customFormat="1" ht="11.25" customHeight="1">
      <c r="A188" s="880"/>
      <c r="B188" s="1497"/>
      <c r="C188" s="1497"/>
      <c r="D188" s="275"/>
      <c r="K188" s="1036"/>
      <c r="L188" s="1497"/>
      <c r="M188" s="1497"/>
      <c r="N188" s="1036"/>
      <c r="O188" s="1036"/>
      <c r="P188" s="1036"/>
      <c r="Q188" s="1036"/>
      <c r="R188" s="1497"/>
      <c r="S188" s="1036"/>
      <c r="T188" s="1036"/>
      <c r="U188" s="471"/>
      <c r="V188" s="1036"/>
      <c r="W188" s="1036"/>
      <c r="X188" s="1036"/>
      <c r="Y188" s="1036"/>
      <c r="Z188" s="1036"/>
      <c r="AA188" s="1493"/>
      <c r="AB188" s="493"/>
      <c r="AC188" s="493"/>
      <c r="AD188" s="493"/>
      <c r="AE188" s="493"/>
    </row>
    <row r="189" spans="1:31" s="1720" customFormat="1" ht="11.25" customHeight="1">
      <c r="A189" s="880"/>
      <c r="B189" s="1497"/>
      <c r="C189" s="1497"/>
      <c r="D189" s="275"/>
      <c r="K189" s="1036"/>
      <c r="L189" s="1497"/>
      <c r="M189" s="1497"/>
      <c r="N189" s="1036"/>
      <c r="O189" s="1036"/>
      <c r="P189" s="1036"/>
      <c r="Q189" s="1036"/>
      <c r="R189" s="1497"/>
      <c r="S189" s="1036"/>
      <c r="T189" s="1036"/>
      <c r="U189" s="471"/>
      <c r="V189" s="1036"/>
      <c r="W189" s="1036"/>
      <c r="X189" s="1036"/>
      <c r="Y189" s="1036"/>
      <c r="Z189" s="1036"/>
      <c r="AA189" s="1493"/>
      <c r="AB189" s="493"/>
      <c r="AC189" s="493"/>
      <c r="AD189" s="493"/>
      <c r="AE189" s="493"/>
    </row>
    <row r="190" spans="1:31" s="1720" customFormat="1" ht="11.25" customHeight="1">
      <c r="A190" s="880"/>
      <c r="B190" s="1497"/>
      <c r="C190" s="1497"/>
      <c r="D190" s="275"/>
      <c r="K190" s="1036"/>
      <c r="L190" s="1497"/>
      <c r="M190" s="1497"/>
      <c r="N190" s="1036"/>
      <c r="O190" s="1036"/>
      <c r="P190" s="1036"/>
      <c r="Q190" s="1036"/>
      <c r="R190" s="1497"/>
      <c r="S190" s="1036"/>
      <c r="T190" s="1036"/>
      <c r="U190" s="471"/>
      <c r="V190" s="1036"/>
      <c r="W190" s="1036"/>
      <c r="X190" s="1036"/>
      <c r="Y190" s="1036"/>
      <c r="Z190" s="1036"/>
      <c r="AA190" s="1493"/>
      <c r="AB190" s="493"/>
      <c r="AC190" s="493"/>
      <c r="AD190" s="493"/>
      <c r="AE190" s="493"/>
    </row>
    <row r="191" spans="1:31" s="1720" customFormat="1" ht="11.25" customHeight="1">
      <c r="A191" s="880"/>
      <c r="B191" s="1497"/>
      <c r="C191" s="1497"/>
      <c r="D191" s="275"/>
      <c r="K191" s="1036"/>
      <c r="L191" s="1497"/>
      <c r="M191" s="1497"/>
      <c r="N191" s="1036"/>
      <c r="O191" s="1036"/>
      <c r="P191" s="1036"/>
      <c r="Q191" s="1036"/>
      <c r="R191" s="1497"/>
      <c r="S191" s="1036"/>
      <c r="T191" s="1036"/>
      <c r="U191" s="471"/>
      <c r="V191" s="1036"/>
      <c r="W191" s="1036"/>
      <c r="X191" s="1036"/>
      <c r="Y191" s="1036"/>
      <c r="Z191" s="1036"/>
      <c r="AA191" s="1493"/>
      <c r="AB191" s="493"/>
      <c r="AC191" s="493"/>
      <c r="AD191" s="493"/>
      <c r="AE191" s="493"/>
    </row>
    <row r="192" spans="1:31" s="1720" customFormat="1" ht="11.25" customHeight="1">
      <c r="A192" s="880"/>
      <c r="B192" s="1497"/>
      <c r="C192" s="1497"/>
      <c r="D192" s="275"/>
      <c r="K192" s="1036"/>
      <c r="L192" s="1497"/>
      <c r="M192" s="1497"/>
      <c r="N192" s="1036"/>
      <c r="O192" s="1036"/>
      <c r="P192" s="1036"/>
      <c r="Q192" s="1036"/>
      <c r="R192" s="1497"/>
      <c r="S192" s="1036"/>
      <c r="T192" s="1036"/>
      <c r="U192" s="471"/>
      <c r="V192" s="1036"/>
      <c r="W192" s="1036"/>
      <c r="X192" s="1036"/>
      <c r="Y192" s="1036"/>
      <c r="Z192" s="1036"/>
      <c r="AA192" s="1493"/>
      <c r="AB192" s="493"/>
      <c r="AC192" s="493"/>
      <c r="AD192" s="493"/>
      <c r="AE192" s="493"/>
    </row>
    <row r="193" spans="1:31" s="1720" customFormat="1" ht="11.25" customHeight="1">
      <c r="A193" s="880"/>
      <c r="B193" s="1497"/>
      <c r="C193" s="1497"/>
      <c r="D193" s="275"/>
      <c r="K193" s="1036"/>
      <c r="L193" s="1497"/>
      <c r="M193" s="1497"/>
      <c r="N193" s="1036"/>
      <c r="O193" s="1036"/>
      <c r="P193" s="1036"/>
      <c r="Q193" s="1036"/>
      <c r="R193" s="1497"/>
      <c r="S193" s="1036"/>
      <c r="T193" s="1036"/>
      <c r="U193" s="471"/>
      <c r="V193" s="1036"/>
      <c r="W193" s="1036"/>
      <c r="X193" s="1036"/>
      <c r="Y193" s="1036"/>
      <c r="Z193" s="1036"/>
      <c r="AA193" s="1493"/>
      <c r="AB193" s="493"/>
      <c r="AC193" s="493"/>
      <c r="AD193" s="493"/>
      <c r="AE193" s="493"/>
    </row>
    <row r="194" spans="1:31" s="1720" customFormat="1" ht="11.25" customHeight="1">
      <c r="A194" s="880"/>
      <c r="B194" s="1497"/>
      <c r="C194" s="1497"/>
      <c r="D194" s="275"/>
      <c r="K194" s="1036"/>
      <c r="L194" s="1497"/>
      <c r="M194" s="1497"/>
      <c r="N194" s="1036"/>
      <c r="O194" s="1036"/>
      <c r="P194" s="1036"/>
      <c r="Q194" s="1036"/>
      <c r="R194" s="1497"/>
      <c r="S194" s="1036"/>
      <c r="T194" s="1036"/>
      <c r="U194" s="471"/>
      <c r="V194" s="1036"/>
      <c r="W194" s="1036"/>
      <c r="X194" s="1036"/>
      <c r="Y194" s="1036"/>
      <c r="Z194" s="1036"/>
      <c r="AA194" s="1493"/>
      <c r="AB194" s="493"/>
      <c r="AC194" s="493"/>
      <c r="AD194" s="493"/>
      <c r="AE194" s="493"/>
    </row>
    <row r="195" spans="1:31" s="1720" customFormat="1" ht="11.25" customHeight="1">
      <c r="A195" s="880"/>
      <c r="B195" s="1497"/>
      <c r="C195" s="1497"/>
      <c r="D195" s="275"/>
      <c r="K195" s="1036"/>
      <c r="L195" s="1497"/>
      <c r="M195" s="1497"/>
      <c r="N195" s="1036"/>
      <c r="O195" s="1036"/>
      <c r="P195" s="1036"/>
      <c r="Q195" s="1036"/>
      <c r="R195" s="1497"/>
      <c r="S195" s="1036"/>
      <c r="T195" s="1036"/>
      <c r="U195" s="471"/>
      <c r="V195" s="1036"/>
      <c r="W195" s="1036"/>
      <c r="X195" s="1036"/>
      <c r="Y195" s="1036"/>
      <c r="Z195" s="1036"/>
      <c r="AA195" s="1493"/>
      <c r="AB195" s="493"/>
      <c r="AC195" s="493"/>
      <c r="AD195" s="493"/>
      <c r="AE195" s="493"/>
    </row>
    <row r="196" spans="1:31" s="1720" customFormat="1" ht="11.25" customHeight="1">
      <c r="A196" s="880"/>
      <c r="B196" s="1497"/>
      <c r="C196" s="1497"/>
      <c r="D196" s="275"/>
      <c r="K196" s="1036"/>
      <c r="L196" s="1497"/>
      <c r="M196" s="1497"/>
      <c r="N196" s="1036"/>
      <c r="O196" s="1036"/>
      <c r="P196" s="1036"/>
      <c r="Q196" s="1036"/>
      <c r="R196" s="1497"/>
      <c r="S196" s="1036"/>
      <c r="T196" s="1036"/>
      <c r="U196" s="471"/>
      <c r="V196" s="1036"/>
      <c r="W196" s="1036"/>
      <c r="X196" s="1036"/>
      <c r="Y196" s="1036"/>
      <c r="Z196" s="1036"/>
      <c r="AA196" s="1493"/>
      <c r="AB196" s="493"/>
      <c r="AC196" s="493"/>
      <c r="AD196" s="493"/>
      <c r="AE196" s="493"/>
    </row>
    <row r="197" spans="1:31" s="1720" customFormat="1" ht="11.25" customHeight="1">
      <c r="A197" s="880"/>
      <c r="B197" s="1497"/>
      <c r="C197" s="1497"/>
      <c r="D197" s="275"/>
      <c r="K197" s="1036"/>
      <c r="L197" s="1497"/>
      <c r="M197" s="1497"/>
      <c r="N197" s="1036"/>
      <c r="O197" s="1036"/>
      <c r="P197" s="1036"/>
      <c r="Q197" s="1036"/>
      <c r="R197" s="1497"/>
      <c r="S197" s="1036"/>
      <c r="T197" s="1036"/>
      <c r="U197" s="471"/>
      <c r="V197" s="1036"/>
      <c r="W197" s="1036"/>
      <c r="X197" s="1036"/>
      <c r="Y197" s="1036"/>
      <c r="Z197" s="1036"/>
      <c r="AA197" s="1493"/>
      <c r="AB197" s="493"/>
      <c r="AC197" s="493"/>
      <c r="AD197" s="493"/>
      <c r="AE197" s="493"/>
    </row>
    <row r="198" spans="1:31" s="1720" customFormat="1" ht="11.25" customHeight="1">
      <c r="A198" s="880"/>
      <c r="B198" s="1497"/>
      <c r="C198" s="1497"/>
      <c r="D198" s="275"/>
      <c r="K198" s="1036"/>
      <c r="L198" s="1497"/>
      <c r="M198" s="1497"/>
      <c r="N198" s="1036"/>
      <c r="O198" s="1036"/>
      <c r="P198" s="1036"/>
      <c r="Q198" s="1036"/>
      <c r="R198" s="1497"/>
      <c r="S198" s="1036"/>
      <c r="T198" s="1036"/>
      <c r="U198" s="471"/>
      <c r="V198" s="1036"/>
      <c r="W198" s="1036"/>
      <c r="X198" s="1036"/>
      <c r="Y198" s="1036"/>
      <c r="Z198" s="1036"/>
      <c r="AA198" s="1493"/>
      <c r="AB198" s="493"/>
      <c r="AC198" s="493"/>
      <c r="AD198" s="493"/>
      <c r="AE198" s="493"/>
    </row>
    <row r="199" spans="1:31" s="1720" customFormat="1" ht="11.25" customHeight="1">
      <c r="A199" s="880"/>
      <c r="B199" s="1497"/>
      <c r="C199" s="1497"/>
      <c r="D199" s="275"/>
      <c r="K199" s="1036"/>
      <c r="L199" s="1497"/>
      <c r="M199" s="1497"/>
      <c r="N199" s="1036"/>
      <c r="O199" s="1036"/>
      <c r="P199" s="1036"/>
      <c r="Q199" s="1036"/>
      <c r="R199" s="1497"/>
      <c r="S199" s="1036"/>
      <c r="T199" s="1036"/>
      <c r="U199" s="471"/>
      <c r="V199" s="1036"/>
      <c r="W199" s="1036"/>
      <c r="X199" s="1036"/>
      <c r="Y199" s="1036"/>
      <c r="Z199" s="1036"/>
      <c r="AA199" s="1493"/>
      <c r="AB199" s="493"/>
      <c r="AC199" s="493"/>
      <c r="AD199" s="493"/>
      <c r="AE199" s="493"/>
    </row>
    <row r="200" spans="1:31" s="1720" customFormat="1" ht="11.25" customHeight="1">
      <c r="A200" s="880"/>
      <c r="B200" s="1497"/>
      <c r="C200" s="1497"/>
      <c r="D200" s="275"/>
      <c r="K200" s="1036"/>
      <c r="L200" s="1497"/>
      <c r="M200" s="1497"/>
      <c r="N200" s="1036"/>
      <c r="O200" s="1036"/>
      <c r="P200" s="1036"/>
      <c r="Q200" s="1036"/>
      <c r="R200" s="1497"/>
      <c r="S200" s="1036"/>
      <c r="T200" s="1036"/>
      <c r="U200" s="471"/>
      <c r="V200" s="1036"/>
      <c r="W200" s="1036"/>
      <c r="X200" s="1036"/>
      <c r="Y200" s="1036"/>
      <c r="Z200" s="1036"/>
      <c r="AA200" s="1493"/>
      <c r="AB200" s="493"/>
      <c r="AC200" s="493"/>
      <c r="AD200" s="493"/>
      <c r="AE200" s="493"/>
    </row>
    <row r="201" spans="1:31" s="1720" customFormat="1" ht="11.25" customHeight="1">
      <c r="A201" s="880"/>
      <c r="B201" s="1497"/>
      <c r="C201" s="1497"/>
      <c r="D201" s="275"/>
      <c r="K201" s="1036"/>
      <c r="L201" s="1497"/>
      <c r="M201" s="1497"/>
      <c r="N201" s="1036"/>
      <c r="O201" s="1036"/>
      <c r="P201" s="1036"/>
      <c r="Q201" s="1036"/>
      <c r="R201" s="1497"/>
      <c r="S201" s="1036"/>
      <c r="T201" s="1036"/>
      <c r="U201" s="471"/>
      <c r="V201" s="1036"/>
      <c r="W201" s="1036"/>
      <c r="X201" s="1036"/>
      <c r="Y201" s="1036"/>
      <c r="Z201" s="1036"/>
      <c r="AA201" s="1493"/>
      <c r="AB201" s="493"/>
      <c r="AC201" s="493"/>
      <c r="AD201" s="493"/>
      <c r="AE201" s="493"/>
    </row>
    <row r="202" spans="1:31" s="1720" customFormat="1" ht="11.25" customHeight="1">
      <c r="A202" s="880"/>
      <c r="B202" s="1497"/>
      <c r="C202" s="1497"/>
      <c r="D202" s="275"/>
      <c r="K202" s="1036"/>
      <c r="L202" s="1497"/>
      <c r="M202" s="1497"/>
      <c r="N202" s="1036"/>
      <c r="O202" s="1036"/>
      <c r="P202" s="1036"/>
      <c r="Q202" s="1036"/>
      <c r="R202" s="1497"/>
      <c r="S202" s="1036"/>
      <c r="T202" s="1036"/>
      <c r="U202" s="471"/>
      <c r="V202" s="1036"/>
      <c r="W202" s="1036"/>
      <c r="X202" s="1036"/>
      <c r="Y202" s="1036"/>
      <c r="Z202" s="1036"/>
      <c r="AA202" s="1493"/>
      <c r="AB202" s="493"/>
      <c r="AC202" s="493"/>
      <c r="AD202" s="493"/>
      <c r="AE202" s="493"/>
    </row>
    <row r="203" spans="1:31" s="1720" customFormat="1" ht="11.25" customHeight="1">
      <c r="A203" s="880"/>
      <c r="B203" s="1497"/>
      <c r="C203" s="1497"/>
      <c r="D203" s="275"/>
      <c r="K203" s="1036"/>
      <c r="L203" s="1497"/>
      <c r="M203" s="1497"/>
      <c r="N203" s="1036"/>
      <c r="O203" s="1036"/>
      <c r="P203" s="1036"/>
      <c r="Q203" s="1036"/>
      <c r="R203" s="1497"/>
      <c r="S203" s="1036"/>
      <c r="T203" s="1036"/>
      <c r="U203" s="471"/>
      <c r="V203" s="1036"/>
      <c r="W203" s="1036"/>
      <c r="X203" s="1036"/>
      <c r="Y203" s="1036"/>
      <c r="Z203" s="1036"/>
      <c r="AA203" s="1493"/>
      <c r="AB203" s="493"/>
      <c r="AC203" s="493"/>
      <c r="AD203" s="493"/>
      <c r="AE203" s="493"/>
    </row>
    <row r="204" spans="1:31" s="1720" customFormat="1" ht="11.25" customHeight="1">
      <c r="A204" s="880"/>
      <c r="B204" s="1497"/>
      <c r="C204" s="1497"/>
      <c r="D204" s="275"/>
      <c r="K204" s="1036"/>
      <c r="L204" s="1497"/>
      <c r="M204" s="1497"/>
      <c r="N204" s="1036"/>
      <c r="O204" s="1036"/>
      <c r="P204" s="1036"/>
      <c r="Q204" s="1036"/>
      <c r="R204" s="1497"/>
      <c r="S204" s="1036"/>
      <c r="T204" s="1036"/>
      <c r="U204" s="471"/>
      <c r="V204" s="1036"/>
      <c r="W204" s="1036"/>
      <c r="X204" s="1036"/>
      <c r="Y204" s="1036"/>
      <c r="Z204" s="1036"/>
      <c r="AA204" s="1493"/>
      <c r="AB204" s="493"/>
      <c r="AC204" s="493"/>
      <c r="AD204" s="493"/>
      <c r="AE204" s="493"/>
    </row>
    <row r="208" spans="1:31" ht="11.25" customHeight="1">
      <c r="A208" s="883"/>
      <c r="B208" s="1492"/>
      <c r="D208" s="1492"/>
      <c r="K208" s="1492"/>
      <c r="N208" s="1492"/>
      <c r="O208" s="1492"/>
      <c r="P208" s="1492"/>
      <c r="Q208" s="1492"/>
      <c r="S208" s="1492"/>
      <c r="T208" s="1492"/>
      <c r="U208" s="1492"/>
      <c r="V208" s="1492"/>
      <c r="W208" s="1492"/>
      <c r="X208" s="1492"/>
      <c r="Y208" s="1492"/>
      <c r="Z208" s="1492"/>
      <c r="AA208" s="1492"/>
      <c r="AB208" s="1492"/>
      <c r="AC208" s="1492"/>
      <c r="AD208" s="1492"/>
      <c r="AE208" s="1492"/>
    </row>
    <row r="209" spans="1:31" ht="11.25" customHeight="1">
      <c r="A209" s="883"/>
      <c r="B209" s="1492"/>
      <c r="D209" s="1492"/>
      <c r="K209" s="1492"/>
      <c r="N209" s="1492"/>
      <c r="O209" s="1492"/>
      <c r="P209" s="1492"/>
      <c r="Q209" s="1492"/>
      <c r="S209" s="1492"/>
      <c r="T209" s="1492"/>
      <c r="U209" s="1492"/>
      <c r="V209" s="1492"/>
      <c r="W209" s="1492"/>
      <c r="X209" s="1492"/>
      <c r="Y209" s="1492"/>
      <c r="Z209" s="1492"/>
      <c r="AA209" s="1492"/>
      <c r="AB209" s="1492"/>
      <c r="AC209" s="1492"/>
      <c r="AD209" s="1492"/>
      <c r="AE209" s="1492"/>
    </row>
    <row r="210" spans="1:31" ht="11.25" customHeight="1">
      <c r="A210" s="883"/>
      <c r="B210" s="1492"/>
      <c r="D210" s="1492"/>
      <c r="K210" s="1492"/>
      <c r="N210" s="1492"/>
      <c r="O210" s="1492"/>
      <c r="P210" s="1492"/>
      <c r="Q210" s="1492"/>
      <c r="S210" s="1492"/>
      <c r="T210" s="1492"/>
      <c r="U210" s="1492"/>
      <c r="V210" s="1492"/>
      <c r="W210" s="1492"/>
      <c r="X210" s="1492"/>
      <c r="Y210" s="1492"/>
      <c r="Z210" s="1492"/>
      <c r="AA210" s="1492"/>
      <c r="AB210" s="1492"/>
      <c r="AC210" s="1492"/>
      <c r="AD210" s="1492"/>
      <c r="AE210" s="1492"/>
    </row>
    <row r="211" spans="1:31" ht="11.25" customHeight="1">
      <c r="A211" s="883"/>
      <c r="B211" s="1492"/>
      <c r="D211" s="1492"/>
      <c r="K211" s="1492"/>
      <c r="N211" s="1492"/>
      <c r="O211" s="1492"/>
      <c r="P211" s="1492"/>
      <c r="Q211" s="1492"/>
      <c r="S211" s="1492"/>
      <c r="T211" s="1492"/>
      <c r="U211" s="1492"/>
      <c r="V211" s="1492"/>
      <c r="W211" s="1492"/>
      <c r="X211" s="1492"/>
      <c r="Y211" s="1492"/>
      <c r="Z211" s="1492"/>
      <c r="AA211" s="1492"/>
      <c r="AB211" s="1492"/>
      <c r="AC211" s="1492"/>
      <c r="AD211" s="1492"/>
      <c r="AE211" s="1492"/>
    </row>
    <row r="212" spans="1:31" ht="11.25" customHeight="1">
      <c r="A212" s="883"/>
      <c r="B212" s="1492"/>
      <c r="D212" s="1492"/>
      <c r="K212" s="1492"/>
      <c r="N212" s="1492"/>
      <c r="O212" s="1492"/>
      <c r="P212" s="1492"/>
      <c r="Q212" s="1492"/>
      <c r="S212" s="1492"/>
      <c r="T212" s="1492"/>
      <c r="U212" s="1492"/>
      <c r="V212" s="1492"/>
      <c r="W212" s="1492"/>
      <c r="X212" s="1492"/>
      <c r="Y212" s="1492"/>
      <c r="Z212" s="1492"/>
      <c r="AA212" s="1492"/>
      <c r="AB212" s="1492"/>
      <c r="AC212" s="1492"/>
      <c r="AD212" s="1492"/>
      <c r="AE212" s="1492"/>
    </row>
    <row r="213" spans="1:31" ht="11.25" customHeight="1">
      <c r="A213" s="883"/>
      <c r="B213" s="1492"/>
      <c r="D213" s="1492"/>
      <c r="K213" s="1492"/>
      <c r="N213" s="1492"/>
      <c r="O213" s="1492"/>
      <c r="P213" s="1492"/>
      <c r="Q213" s="1492"/>
      <c r="S213" s="1492"/>
      <c r="T213" s="1492"/>
      <c r="U213" s="1492"/>
      <c r="V213" s="1492"/>
      <c r="W213" s="1492"/>
      <c r="X213" s="1492"/>
      <c r="Y213" s="1492"/>
      <c r="Z213" s="1492"/>
      <c r="AA213" s="1492"/>
      <c r="AB213" s="1492"/>
      <c r="AC213" s="1492"/>
      <c r="AD213" s="1492"/>
      <c r="AE213" s="1492"/>
    </row>
    <row r="214" spans="1:31" ht="11.25" customHeight="1">
      <c r="A214" s="883"/>
      <c r="B214" s="1492"/>
      <c r="D214" s="1492"/>
      <c r="K214" s="1492"/>
      <c r="N214" s="1492"/>
      <c r="O214" s="1492"/>
      <c r="P214" s="1492"/>
      <c r="Q214" s="1492"/>
      <c r="S214" s="1492"/>
      <c r="T214" s="1492"/>
      <c r="U214" s="1492"/>
      <c r="V214" s="1492"/>
      <c r="W214" s="1492"/>
      <c r="X214" s="1492"/>
      <c r="Y214" s="1492"/>
      <c r="Z214" s="1492"/>
      <c r="AA214" s="1492"/>
      <c r="AB214" s="1492"/>
      <c r="AC214" s="1492"/>
      <c r="AD214" s="1492"/>
      <c r="AE214" s="1492"/>
    </row>
    <row r="215" spans="1:31" ht="11.25" customHeight="1">
      <c r="A215" s="883"/>
      <c r="B215" s="1492"/>
      <c r="D215" s="1492"/>
      <c r="K215" s="1492"/>
      <c r="N215" s="1492"/>
      <c r="O215" s="1492"/>
      <c r="P215" s="1492"/>
      <c r="Q215" s="1492"/>
      <c r="S215" s="1492"/>
      <c r="T215" s="1492"/>
      <c r="U215" s="1492"/>
      <c r="V215" s="1492"/>
      <c r="W215" s="1492"/>
      <c r="X215" s="1492"/>
      <c r="Y215" s="1492"/>
      <c r="Z215" s="1492"/>
      <c r="AA215" s="1492"/>
      <c r="AB215" s="1492"/>
      <c r="AC215" s="1492"/>
      <c r="AD215" s="1492"/>
      <c r="AE215" s="1492"/>
    </row>
    <row r="216" spans="1:31" ht="11.25" customHeight="1">
      <c r="A216" s="883"/>
      <c r="B216" s="1492"/>
      <c r="D216" s="1492"/>
      <c r="K216" s="1492"/>
      <c r="N216" s="1492"/>
      <c r="O216" s="1492"/>
      <c r="P216" s="1492"/>
      <c r="Q216" s="1492"/>
      <c r="S216" s="1492"/>
      <c r="T216" s="1492"/>
      <c r="U216" s="1492"/>
      <c r="V216" s="1492"/>
      <c r="W216" s="1492"/>
      <c r="X216" s="1492"/>
      <c r="Y216" s="1492"/>
      <c r="Z216" s="1492"/>
      <c r="AA216" s="1492"/>
      <c r="AB216" s="1492"/>
      <c r="AC216" s="1492"/>
      <c r="AD216" s="1492"/>
      <c r="AE216" s="1492"/>
    </row>
    <row r="217" spans="1:31" ht="11.25" customHeight="1">
      <c r="A217" s="883"/>
      <c r="B217" s="1492"/>
      <c r="D217" s="1492"/>
      <c r="K217" s="1492"/>
      <c r="N217" s="1492"/>
      <c r="O217" s="1492"/>
      <c r="P217" s="1492"/>
      <c r="Q217" s="1492"/>
      <c r="S217" s="1492"/>
      <c r="T217" s="1492"/>
      <c r="U217" s="1492"/>
      <c r="V217" s="1492"/>
      <c r="W217" s="1492"/>
      <c r="X217" s="1492"/>
      <c r="Y217" s="1492"/>
      <c r="Z217" s="1492"/>
      <c r="AA217" s="1492"/>
      <c r="AB217" s="1492"/>
      <c r="AC217" s="1492"/>
      <c r="AD217" s="1492"/>
      <c r="AE217" s="1492"/>
    </row>
    <row r="218" spans="1:31" ht="11.25" customHeight="1">
      <c r="A218" s="883"/>
      <c r="B218" s="1492"/>
      <c r="D218" s="1492"/>
      <c r="K218" s="1492"/>
      <c r="N218" s="1492"/>
      <c r="O218" s="1492"/>
      <c r="P218" s="1492"/>
      <c r="Q218" s="1492"/>
      <c r="S218" s="1492"/>
      <c r="T218" s="1492"/>
      <c r="U218" s="1492"/>
      <c r="V218" s="1492"/>
      <c r="W218" s="1492"/>
      <c r="X218" s="1492"/>
      <c r="Y218" s="1492"/>
      <c r="Z218" s="1492"/>
      <c r="AA218" s="1492"/>
      <c r="AB218" s="1492"/>
      <c r="AC218" s="1492"/>
      <c r="AD218" s="1492"/>
      <c r="AE218" s="1492"/>
    </row>
  </sheetData>
  <sheetProtection formatColumns="0" formatRows="0" insertRows="0" deleteColumns="0" deleteRows="0" sort="0" autoFilter="0"/>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209"/>
  <sheetViews>
    <sheetView showGridLines="0" topLeftCell="D5" zoomScale="90" workbookViewId="0"/>
  </sheetViews>
  <sheetFormatPr defaultColWidth="9.140625" defaultRowHeight="11.25" customHeight="1"/>
  <cols>
    <col min="1" max="1" width="10.7109375" style="1717" hidden="1" customWidth="1"/>
    <col min="2" max="2" width="16.85546875" style="1759" hidden="1" customWidth="1"/>
    <col min="3" max="3" width="5.5703125" style="1772" hidden="1" customWidth="1"/>
    <col min="4" max="4" width="3.7109375" style="1846" customWidth="1"/>
    <col min="5" max="5" width="7.7109375" style="1846" customWidth="1"/>
    <col min="6" max="6" width="54.5703125" style="1846" customWidth="1"/>
    <col min="7" max="7" width="10.42578125" style="1846" customWidth="1"/>
    <col min="8" max="8" width="40.7109375" style="1846" hidden="1" customWidth="1"/>
    <col min="9" max="9" width="40.7109375" style="1846" customWidth="1"/>
    <col min="10" max="10" width="102.85546875" style="1846" customWidth="1"/>
    <col min="11" max="11" width="9.7109375" style="1759" customWidth="1"/>
    <col min="12" max="12" width="5.28515625" style="1772" customWidth="1"/>
    <col min="13" max="13" width="3.7109375" style="1772" customWidth="1"/>
    <col min="14" max="17" width="3.7109375" style="1759" customWidth="1"/>
    <col min="18" max="18" width="10.5703125" style="1772" customWidth="1"/>
    <col min="19" max="19" width="34.7109375" style="1759" customWidth="1"/>
    <col min="20" max="20" width="9.42578125" style="1759" customWidth="1"/>
    <col min="21" max="21" width="9.140625" style="1723"/>
    <col min="22" max="26" width="9.140625" style="1759"/>
    <col min="27" max="31" width="9.140625" style="1741"/>
  </cols>
  <sheetData>
    <row r="1" spans="1:31" s="1759" customFormat="1" ht="11.25" hidden="1" customHeight="1">
      <c r="A1" s="880"/>
      <c r="C1" s="1497"/>
      <c r="D1" s="464"/>
      <c r="H1" s="1036">
        <v>4</v>
      </c>
      <c r="I1" s="1036">
        <v>4</v>
      </c>
      <c r="L1" s="1497"/>
      <c r="M1" s="1497"/>
      <c r="R1" s="1497"/>
    </row>
    <row r="2" spans="1:31" s="1759" customFormat="1" ht="22.5" hidden="1" customHeight="1">
      <c r="A2" s="880"/>
      <c r="C2" s="1497"/>
      <c r="D2" s="465"/>
      <c r="E2" s="1518"/>
      <c r="F2" s="467"/>
      <c r="G2" s="1517" t="s">
        <v>1718</v>
      </c>
      <c r="H2" s="468"/>
      <c r="I2" s="468"/>
      <c r="J2" s="469" t="s">
        <v>1721</v>
      </c>
      <c r="K2" s="470"/>
      <c r="L2" s="1497"/>
      <c r="M2" s="1497"/>
      <c r="R2" s="1497"/>
      <c r="U2" s="471"/>
      <c r="AA2" s="1493"/>
      <c r="AB2" s="1493"/>
      <c r="AC2" s="1493"/>
      <c r="AD2" s="1493"/>
      <c r="AE2" s="1493"/>
    </row>
    <row r="3" spans="1:31" ht="11.25" hidden="1" customHeight="1"/>
    <row r="4" spans="1:31" s="1741" customFormat="1" ht="11.25" hidden="1" customHeight="1">
      <c r="A4" s="880"/>
      <c r="B4" s="1036"/>
      <c r="C4" s="1497"/>
      <c r="D4" s="288"/>
      <c r="J4" s="1493">
        <v>4</v>
      </c>
      <c r="K4" s="1036"/>
      <c r="L4" s="1497"/>
      <c r="M4" s="1497"/>
      <c r="N4" s="1036"/>
      <c r="O4" s="1036"/>
      <c r="P4" s="1036"/>
      <c r="Q4" s="1036"/>
      <c r="R4" s="1497"/>
      <c r="S4" s="1036"/>
      <c r="T4" s="1036"/>
      <c r="U4" s="471"/>
      <c r="V4" s="1036"/>
      <c r="W4" s="1036"/>
      <c r="X4" s="1036"/>
      <c r="Y4" s="1036"/>
      <c r="Z4" s="1036"/>
    </row>
    <row r="6" spans="1:31" ht="24" customHeight="1">
      <c r="E6" s="2014" t="s">
        <v>1822</v>
      </c>
      <c r="F6" s="2015"/>
      <c r="G6" s="2015"/>
      <c r="H6" s="2015"/>
      <c r="I6" s="2016"/>
      <c r="J6" s="483"/>
    </row>
    <row r="7" spans="1:31" ht="24" customHeight="1">
      <c r="E7" s="2126" t="str">
        <f>IF(org=0,"Не определено",org)</f>
        <v>ООО "Автозаводская ТЭЦ"</v>
      </c>
      <c r="F7" s="2127"/>
      <c r="G7" s="2127"/>
      <c r="H7" s="2127"/>
      <c r="I7" s="2128"/>
    </row>
    <row r="8" spans="1:31" ht="11.25" customHeight="1">
      <c r="E8" s="1014"/>
      <c r="F8" s="1014"/>
      <c r="G8" s="1014"/>
      <c r="H8" s="1014"/>
      <c r="I8" s="1014"/>
    </row>
    <row r="9" spans="1:31" s="1772" customFormat="1" ht="0.75" customHeight="1">
      <c r="A9" s="1043"/>
      <c r="D9" s="1502"/>
      <c r="H9" s="786"/>
      <c r="I9" s="786" t="s">
        <v>117</v>
      </c>
    </row>
    <row r="10" spans="1:31" ht="11.25" customHeight="1">
      <c r="E10" s="625"/>
      <c r="F10" s="2309" t="s">
        <v>105</v>
      </c>
      <c r="G10" s="2310"/>
      <c r="H10" s="1519" t="str">
        <f>IF(H9="","",INDEX(DIFFERENTIATION_UNMERGE_VD,MATCH(H9,DIFFERENTIATION_ID_DIFF,0)))</f>
        <v/>
      </c>
      <c r="I10" s="1519"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021"/>
    </row>
    <row r="11" spans="1:31" ht="11.25" customHeight="1">
      <c r="E11" s="625"/>
      <c r="F11" s="2309" t="s">
        <v>1420</v>
      </c>
      <c r="G11" s="2310"/>
      <c r="H11" s="1519" t="str">
        <f>IF(H9="","",INDEX(DIFFERENTIATION_UNMERGE_AREA,MATCH(H9,DIFFERENTIATION_ID_DIFF,0)))</f>
        <v/>
      </c>
      <c r="I11" s="1519" t="str">
        <f>IF(I9="","",INDEX(DIFFERENTIATION_UNMERGE_AREA,MATCH(I9,DIFFERENTIATION_ID_DIFF,0)))</f>
        <v>Территория 1</v>
      </c>
      <c r="J11" s="2021"/>
    </row>
    <row r="12" spans="1:31" ht="11.25" hidden="1" customHeight="1">
      <c r="E12" s="1522"/>
      <c r="F12" s="2351" t="s">
        <v>1421</v>
      </c>
      <c r="G12" s="2352"/>
      <c r="H12" s="1523" t="str">
        <f>IF(H9="","",INDEX(DIFFERENTIATION_UNMERGE_SYSTEM,MATCH(H9,DIFFERENTIATION_ID_DIFF,0)))</f>
        <v/>
      </c>
      <c r="I12" s="1523" t="str">
        <f>IF(I9="","",INDEX(DIFFERENTIATION_UNMERGE_SYSTEM,MATCH(I9,DIFFERENTIATION_ID_DIFF,0)))</f>
        <v>без дифференциации</v>
      </c>
      <c r="J12" s="2021"/>
    </row>
    <row r="13" spans="1:31" ht="11.25" customHeight="1">
      <c r="E13" s="2311" t="s">
        <v>292</v>
      </c>
      <c r="F13" s="2312"/>
      <c r="G13" s="2312"/>
      <c r="H13" s="1516"/>
      <c r="I13" s="1516"/>
      <c r="J13" s="2021"/>
    </row>
    <row r="14" spans="1:31" ht="22.5" customHeight="1">
      <c r="E14" s="1517" t="s">
        <v>88</v>
      </c>
      <c r="F14" s="1520" t="s">
        <v>294</v>
      </c>
      <c r="G14" s="1520" t="s">
        <v>1599</v>
      </c>
      <c r="H14" s="1520" t="s">
        <v>295</v>
      </c>
      <c r="I14" s="1520" t="s">
        <v>295</v>
      </c>
      <c r="J14" s="2021"/>
    </row>
    <row r="15" spans="1:31" ht="18.75" customHeight="1">
      <c r="D15" s="1499"/>
      <c r="E15" s="1491" t="s">
        <v>109</v>
      </c>
      <c r="F15" s="621" t="s">
        <v>1823</v>
      </c>
      <c r="G15" s="1517" t="s">
        <v>1718</v>
      </c>
      <c r="H15" s="484"/>
      <c r="I15" s="484"/>
      <c r="J15" s="207" t="s">
        <v>1824</v>
      </c>
      <c r="K15" s="470" t="s">
        <v>1775</v>
      </c>
    </row>
    <row r="16" spans="1:31" ht="22.5" customHeight="1">
      <c r="D16" s="1499"/>
      <c r="E16" s="1491" t="s">
        <v>110</v>
      </c>
      <c r="F16" s="1525" t="s">
        <v>1825</v>
      </c>
      <c r="G16" s="1517" t="s">
        <v>1718</v>
      </c>
      <c r="H16" s="485">
        <f>SUM(H17,H20:H27)</f>
        <v>0</v>
      </c>
      <c r="I16" s="485">
        <f>SUM(I17,I20:I27)</f>
        <v>0</v>
      </c>
      <c r="J16" s="207" t="s">
        <v>1826</v>
      </c>
      <c r="K16" s="470" t="s">
        <v>1775</v>
      </c>
    </row>
    <row r="17" spans="1:31" ht="33.75" customHeight="1">
      <c r="D17" s="1499"/>
      <c r="E17" s="1524" t="s">
        <v>505</v>
      </c>
      <c r="F17" s="1527" t="s">
        <v>1827</v>
      </c>
      <c r="G17" s="1514" t="s">
        <v>1718</v>
      </c>
      <c r="H17" s="484"/>
      <c r="I17" s="484"/>
      <c r="J17" s="207" t="s">
        <v>1828</v>
      </c>
      <c r="K17" s="470"/>
    </row>
    <row r="18" spans="1:31" ht="18.75" customHeight="1">
      <c r="D18" s="1499"/>
      <c r="E18" s="1524" t="s">
        <v>1457</v>
      </c>
      <c r="F18" s="1528" t="s">
        <v>1829</v>
      </c>
      <c r="G18" s="1514" t="s">
        <v>1718</v>
      </c>
      <c r="H18" s="484"/>
      <c r="I18" s="484"/>
      <c r="J18" s="207"/>
      <c r="K18" s="470"/>
    </row>
    <row r="19" spans="1:31" ht="22.5" customHeight="1">
      <c r="D19" s="1499"/>
      <c r="E19" s="1524" t="s">
        <v>1782</v>
      </c>
      <c r="F19" s="1528" t="s">
        <v>1830</v>
      </c>
      <c r="G19" s="1514" t="s">
        <v>1718</v>
      </c>
      <c r="H19" s="484"/>
      <c r="I19" s="484"/>
      <c r="J19" s="207"/>
      <c r="K19" s="470"/>
    </row>
    <row r="20" spans="1:31" ht="33.75" customHeight="1">
      <c r="D20" s="1499"/>
      <c r="E20" s="1524" t="s">
        <v>299</v>
      </c>
      <c r="F20" s="1527" t="s">
        <v>1831</v>
      </c>
      <c r="G20" s="1514" t="s">
        <v>1718</v>
      </c>
      <c r="H20" s="484"/>
      <c r="I20" s="484"/>
      <c r="J20" s="207"/>
      <c r="K20" s="470"/>
    </row>
    <row r="21" spans="1:31" ht="33.75" customHeight="1">
      <c r="D21" s="1499"/>
      <c r="E21" s="1524" t="s">
        <v>302</v>
      </c>
      <c r="F21" s="1527" t="s">
        <v>1832</v>
      </c>
      <c r="G21" s="1514" t="s">
        <v>1718</v>
      </c>
      <c r="H21" s="484"/>
      <c r="I21" s="484"/>
      <c r="J21" s="207"/>
      <c r="K21" s="470"/>
    </row>
    <row r="22" spans="1:31" ht="56.25" customHeight="1">
      <c r="D22" s="1499"/>
      <c r="E22" s="1524" t="s">
        <v>514</v>
      </c>
      <c r="F22" s="1527" t="s">
        <v>1833</v>
      </c>
      <c r="G22" s="1514" t="s">
        <v>1718</v>
      </c>
      <c r="H22" s="484"/>
      <c r="I22" s="484"/>
      <c r="J22" s="207"/>
      <c r="K22" s="470"/>
    </row>
    <row r="23" spans="1:31" ht="33.75" customHeight="1">
      <c r="D23" s="1499"/>
      <c r="E23" s="1524" t="s">
        <v>516</v>
      </c>
      <c r="F23" s="1527" t="s">
        <v>1834</v>
      </c>
      <c r="G23" s="1514" t="s">
        <v>1718</v>
      </c>
      <c r="H23" s="484"/>
      <c r="I23" s="484"/>
      <c r="J23" s="207"/>
      <c r="K23" s="470"/>
    </row>
    <row r="24" spans="1:31" ht="33.75" customHeight="1">
      <c r="D24" s="1499"/>
      <c r="E24" s="1524" t="s">
        <v>530</v>
      </c>
      <c r="F24" s="1527" t="s">
        <v>1835</v>
      </c>
      <c r="G24" s="1514" t="s">
        <v>1718</v>
      </c>
      <c r="H24" s="484"/>
      <c r="I24" s="484"/>
      <c r="J24" s="207"/>
      <c r="K24" s="470"/>
    </row>
    <row r="25" spans="1:31" ht="22.5" customHeight="1">
      <c r="D25" s="1499"/>
      <c r="E25" s="1524" t="s">
        <v>541</v>
      </c>
      <c r="F25" s="1527" t="s">
        <v>1836</v>
      </c>
      <c r="G25" s="1514" t="s">
        <v>1718</v>
      </c>
      <c r="H25" s="484"/>
      <c r="I25" s="484"/>
      <c r="J25" s="207"/>
      <c r="K25" s="470"/>
    </row>
    <row r="26" spans="1:31" ht="67.5" customHeight="1">
      <c r="D26" s="1499"/>
      <c r="E26" s="1524" t="s">
        <v>552</v>
      </c>
      <c r="F26" s="1527" t="s">
        <v>1837</v>
      </c>
      <c r="G26" s="1514" t="s">
        <v>1718</v>
      </c>
      <c r="H26" s="484"/>
      <c r="I26" s="484"/>
      <c r="J26" s="207"/>
      <c r="K26" s="470"/>
    </row>
    <row r="27" spans="1:31" s="1759" customFormat="1" ht="22.5" customHeight="1">
      <c r="A27" s="880"/>
      <c r="C27" s="1497"/>
      <c r="D27" s="1499"/>
      <c r="E27" s="1490" t="s">
        <v>560</v>
      </c>
      <c r="F27" s="1489" t="s">
        <v>1838</v>
      </c>
      <c r="G27" s="1515" t="s">
        <v>1718</v>
      </c>
      <c r="H27" s="506">
        <f>SUM(H28:H29)</f>
        <v>0</v>
      </c>
      <c r="I27" s="506">
        <f>SUM(I28:I29)</f>
        <v>0</v>
      </c>
      <c r="J27" s="207" t="s">
        <v>1800</v>
      </c>
      <c r="K27" s="470"/>
      <c r="L27" s="1497"/>
      <c r="M27" s="1497"/>
      <c r="R27" s="1497"/>
      <c r="U27" s="471"/>
      <c r="AA27" s="1493"/>
      <c r="AB27" s="1493"/>
      <c r="AC27" s="1493"/>
      <c r="AD27" s="1493"/>
      <c r="AE27" s="1493"/>
    </row>
    <row r="28" spans="1:31" s="1772" customFormat="1" ht="0.75" customHeight="1">
      <c r="A28" s="1043"/>
      <c r="D28" s="475"/>
      <c r="E28" s="709" t="str">
        <f>E27&amp;".0"</f>
        <v>2.9.0</v>
      </c>
      <c r="F28" s="884"/>
      <c r="G28" s="478"/>
      <c r="H28" s="885"/>
      <c r="I28" s="885"/>
      <c r="J28" s="886"/>
    </row>
    <row r="29" spans="1:31" s="1759" customFormat="1" ht="18.75" customHeight="1">
      <c r="A29" s="880"/>
      <c r="C29" s="1497"/>
      <c r="D29" s="1494"/>
      <c r="E29" s="497"/>
      <c r="F29" s="1526" t="s">
        <v>1738</v>
      </c>
      <c r="G29" s="499"/>
      <c r="H29" s="500"/>
      <c r="I29" s="500"/>
      <c r="J29" s="219" t="s">
        <v>1801</v>
      </c>
      <c r="K29" s="470"/>
      <c r="L29" s="1497"/>
      <c r="M29" s="1497"/>
      <c r="R29" s="1497"/>
      <c r="U29" s="471"/>
      <c r="AA29" s="1493"/>
      <c r="AB29" s="1493"/>
      <c r="AC29" s="1493"/>
      <c r="AD29" s="1493"/>
      <c r="AE29" s="1493"/>
    </row>
    <row r="30" spans="1:31" s="1759" customFormat="1" ht="22.5" customHeight="1">
      <c r="A30" s="880"/>
      <c r="C30" s="1497"/>
      <c r="D30" s="1499"/>
      <c r="E30" s="1524" t="s">
        <v>90</v>
      </c>
      <c r="F30" s="1521" t="s">
        <v>1839</v>
      </c>
      <c r="G30" s="1514" t="s">
        <v>1718</v>
      </c>
      <c r="H30" s="484"/>
      <c r="I30" s="484"/>
      <c r="J30" s="207"/>
      <c r="K30" s="470"/>
      <c r="L30" s="1497"/>
      <c r="M30" s="1497"/>
      <c r="R30" s="1497"/>
      <c r="U30" s="471"/>
      <c r="AA30" s="1493"/>
      <c r="AB30" s="1493"/>
      <c r="AC30" s="1493"/>
      <c r="AD30" s="1493"/>
      <c r="AE30" s="1493"/>
    </row>
    <row r="31" spans="1:31" s="1759" customFormat="1" ht="33.75" customHeight="1">
      <c r="A31" s="880"/>
      <c r="C31" s="1497"/>
      <c r="D31" s="502"/>
      <c r="E31" s="1524" t="s">
        <v>91</v>
      </c>
      <c r="F31" s="1521" t="s">
        <v>1840</v>
      </c>
      <c r="G31" s="1514" t="s">
        <v>1718</v>
      </c>
      <c r="H31" s="484"/>
      <c r="I31" s="484"/>
      <c r="J31" s="207" t="s">
        <v>1841</v>
      </c>
      <c r="K31" s="470"/>
      <c r="L31" s="1497"/>
      <c r="M31" s="1497"/>
      <c r="R31" s="1497"/>
      <c r="U31" s="471"/>
      <c r="AA31" s="1493"/>
      <c r="AB31" s="1493"/>
      <c r="AC31" s="1493"/>
      <c r="AD31" s="1493"/>
      <c r="AE31" s="1493"/>
    </row>
    <row r="32" spans="1:31" s="1759" customFormat="1" ht="22.5" customHeight="1">
      <c r="A32" s="880"/>
      <c r="C32" s="1497"/>
      <c r="D32" s="1499"/>
      <c r="E32" s="1524" t="s">
        <v>613</v>
      </c>
      <c r="F32" s="605" t="s">
        <v>1808</v>
      </c>
      <c r="G32" s="1514" t="s">
        <v>1718</v>
      </c>
      <c r="H32" s="484"/>
      <c r="I32" s="484"/>
      <c r="J32" s="207" t="s">
        <v>1842</v>
      </c>
      <c r="K32" s="470"/>
      <c r="L32" s="1497"/>
      <c r="M32" s="1497"/>
      <c r="R32" s="1497"/>
      <c r="U32" s="471"/>
      <c r="AA32" s="1493"/>
      <c r="AB32" s="1493"/>
      <c r="AC32" s="1493"/>
      <c r="AD32" s="1493"/>
      <c r="AE32" s="1493"/>
    </row>
    <row r="33" spans="1:31" s="1759" customFormat="1" ht="22.5" customHeight="1">
      <c r="A33" s="880"/>
      <c r="C33" s="1497"/>
      <c r="D33" s="1499"/>
      <c r="E33" s="1524" t="s">
        <v>632</v>
      </c>
      <c r="F33" s="605" t="s">
        <v>1843</v>
      </c>
      <c r="G33" s="1514" t="s">
        <v>1718</v>
      </c>
      <c r="H33" s="484"/>
      <c r="I33" s="484"/>
      <c r="J33" s="207" t="s">
        <v>1844</v>
      </c>
      <c r="K33" s="470"/>
      <c r="L33" s="1497"/>
      <c r="M33" s="1497"/>
      <c r="R33" s="1497"/>
      <c r="U33" s="471"/>
      <c r="AA33" s="1493"/>
      <c r="AB33" s="1493"/>
      <c r="AC33" s="1493"/>
      <c r="AD33" s="1493"/>
      <c r="AE33" s="1493"/>
    </row>
    <row r="34" spans="1:31" s="1759" customFormat="1" ht="22.5" customHeight="1">
      <c r="A34" s="880"/>
      <c r="C34" s="1497"/>
      <c r="D34" s="1499"/>
      <c r="E34" s="1524" t="s">
        <v>1614</v>
      </c>
      <c r="F34" s="605" t="s">
        <v>1811</v>
      </c>
      <c r="G34" s="1514" t="s">
        <v>1718</v>
      </c>
      <c r="H34" s="484"/>
      <c r="I34" s="484"/>
      <c r="J34" s="207" t="s">
        <v>1845</v>
      </c>
      <c r="K34" s="470"/>
      <c r="L34" s="1497"/>
      <c r="M34" s="1497"/>
      <c r="R34" s="1497"/>
      <c r="U34" s="471"/>
      <c r="AA34" s="1493"/>
      <c r="AB34" s="1493"/>
      <c r="AC34" s="1493"/>
      <c r="AD34" s="1493"/>
      <c r="AE34" s="1493"/>
    </row>
    <row r="35" spans="1:31" s="1759" customFormat="1" ht="33.75" customHeight="1">
      <c r="A35" s="880"/>
      <c r="C35" s="1497" t="s">
        <v>1750</v>
      </c>
      <c r="D35" s="1499"/>
      <c r="E35" s="1524" t="s">
        <v>111</v>
      </c>
      <c r="F35" s="1521" t="s">
        <v>638</v>
      </c>
      <c r="G35" s="1517" t="s">
        <v>298</v>
      </c>
      <c r="H35" s="336"/>
      <c r="I35" s="336"/>
      <c r="J35" s="207" t="s">
        <v>1846</v>
      </c>
      <c r="K35" s="470"/>
      <c r="L35" s="1497"/>
      <c r="M35" s="1497"/>
      <c r="R35" s="1497"/>
      <c r="U35" s="471"/>
      <c r="AA35" s="1493"/>
      <c r="AB35" s="1493"/>
      <c r="AC35" s="1493"/>
      <c r="AD35" s="1493"/>
      <c r="AE35" s="1493"/>
    </row>
    <row r="36" spans="1:31" s="1759" customFormat="1" ht="22.5" customHeight="1">
      <c r="A36" s="880"/>
      <c r="C36" s="1497"/>
      <c r="D36" s="1499"/>
      <c r="E36" s="1524" t="s">
        <v>92</v>
      </c>
      <c r="F36" s="1521" t="s">
        <v>1847</v>
      </c>
      <c r="G36" s="1514" t="s">
        <v>1816</v>
      </c>
      <c r="H36" s="472"/>
      <c r="I36" s="472"/>
      <c r="J36" s="207" t="s">
        <v>1817</v>
      </c>
      <c r="K36" s="470"/>
      <c r="L36" s="1497"/>
      <c r="M36" s="1497"/>
      <c r="R36" s="1497"/>
      <c r="U36" s="471"/>
      <c r="AA36" s="1493"/>
      <c r="AB36" s="1493"/>
      <c r="AC36" s="1493"/>
      <c r="AD36" s="1493"/>
      <c r="AE36" s="1493"/>
    </row>
    <row r="37" spans="1:31" s="1759" customFormat="1" ht="22.5" customHeight="1">
      <c r="A37" s="880"/>
      <c r="C37" s="1497"/>
      <c r="D37" s="1499"/>
      <c r="E37" s="1524" t="s">
        <v>93</v>
      </c>
      <c r="F37" s="1521" t="s">
        <v>1848</v>
      </c>
      <c r="G37" s="1514" t="s">
        <v>1819</v>
      </c>
      <c r="H37" s="472"/>
      <c r="I37" s="472"/>
      <c r="J37" s="207" t="s">
        <v>1820</v>
      </c>
      <c r="K37" s="470"/>
      <c r="L37" s="1497"/>
      <c r="M37" s="1497"/>
      <c r="R37" s="1497"/>
      <c r="U37" s="471"/>
      <c r="AA37" s="1493"/>
      <c r="AB37" s="1493"/>
      <c r="AC37" s="1493"/>
      <c r="AD37" s="1493"/>
      <c r="AE37" s="1493"/>
    </row>
    <row r="38" spans="1:31" ht="11.25" customHeight="1">
      <c r="D38" s="1499"/>
    </row>
    <row r="39" spans="1:31" ht="26.25" customHeight="1">
      <c r="D39" s="1499"/>
      <c r="E39" s="1128" t="s">
        <v>1509</v>
      </c>
      <c r="F39" s="2234" t="s">
        <v>1849</v>
      </c>
      <c r="G39" s="2234"/>
      <c r="H39" s="2234"/>
      <c r="I39" s="2234"/>
      <c r="J39" s="2234"/>
    </row>
    <row r="40" spans="1:31" s="1720" customFormat="1" ht="37.5" customHeight="1">
      <c r="A40" s="880"/>
      <c r="B40" s="1497"/>
      <c r="C40" s="1497"/>
      <c r="D40" s="275"/>
      <c r="F40" s="2234" t="s">
        <v>1850</v>
      </c>
      <c r="G40" s="2234"/>
      <c r="H40" s="2234"/>
      <c r="I40" s="2234"/>
      <c r="J40" s="2234"/>
      <c r="K40" s="1036"/>
      <c r="L40" s="1497"/>
      <c r="M40" s="1497"/>
      <c r="N40" s="1036"/>
      <c r="O40" s="1036"/>
      <c r="P40" s="1036"/>
      <c r="Q40" s="1036"/>
      <c r="R40" s="1497"/>
      <c r="S40" s="1036"/>
      <c r="T40" s="1036"/>
      <c r="U40" s="471"/>
      <c r="V40" s="1036"/>
      <c r="W40" s="1036"/>
      <c r="X40" s="1036"/>
      <c r="Y40" s="1036"/>
      <c r="Z40" s="1036"/>
      <c r="AA40" s="1493"/>
      <c r="AB40" s="493"/>
      <c r="AC40" s="493"/>
      <c r="AD40" s="493"/>
      <c r="AE40" s="493"/>
    </row>
    <row r="41" spans="1:31" s="1720" customFormat="1" ht="11.25" customHeight="1">
      <c r="A41" s="880"/>
      <c r="B41" s="1497"/>
      <c r="C41" s="1497"/>
      <c r="D41" s="275"/>
      <c r="K41" s="1036"/>
      <c r="L41" s="1497"/>
      <c r="M41" s="1497"/>
      <c r="N41" s="1036"/>
      <c r="O41" s="1036"/>
      <c r="P41" s="1036"/>
      <c r="Q41" s="1036"/>
      <c r="R41" s="1497"/>
      <c r="S41" s="1036"/>
      <c r="T41" s="1036"/>
      <c r="U41" s="471"/>
      <c r="V41" s="1036"/>
      <c r="W41" s="1036"/>
      <c r="X41" s="1036"/>
      <c r="Y41" s="1036"/>
      <c r="Z41" s="1036"/>
      <c r="AA41" s="1493"/>
      <c r="AB41" s="493"/>
      <c r="AC41" s="493"/>
      <c r="AD41" s="493"/>
      <c r="AE41" s="493"/>
    </row>
    <row r="42" spans="1:31" s="1720" customFormat="1" ht="11.25" customHeight="1">
      <c r="A42" s="880"/>
      <c r="B42" s="1497"/>
      <c r="C42" s="1497"/>
      <c r="D42" s="275"/>
      <c r="K42" s="1036"/>
      <c r="L42" s="1497"/>
      <c r="M42" s="1497"/>
      <c r="N42" s="1036"/>
      <c r="O42" s="1036"/>
      <c r="P42" s="1036"/>
      <c r="Q42" s="1036"/>
      <c r="R42" s="1497"/>
      <c r="S42" s="1036"/>
      <c r="T42" s="1036"/>
      <c r="U42" s="471"/>
      <c r="V42" s="1036"/>
      <c r="W42" s="1036"/>
      <c r="X42" s="1036"/>
      <c r="Y42" s="1036"/>
      <c r="Z42" s="1036"/>
      <c r="AA42" s="1493"/>
      <c r="AB42" s="493"/>
      <c r="AC42" s="493"/>
      <c r="AD42" s="493"/>
      <c r="AE42" s="493"/>
    </row>
    <row r="43" spans="1:31" s="1720" customFormat="1" ht="11.25" customHeight="1">
      <c r="A43" s="880"/>
      <c r="B43" s="1497"/>
      <c r="C43" s="1497"/>
      <c r="D43" s="275"/>
      <c r="H43" s="493"/>
      <c r="I43" s="493"/>
      <c r="K43" s="1036"/>
      <c r="L43" s="1497"/>
      <c r="M43" s="1497"/>
      <c r="N43" s="1036"/>
      <c r="O43" s="1036"/>
      <c r="P43" s="1036"/>
      <c r="Q43" s="1036"/>
      <c r="R43" s="1497"/>
      <c r="S43" s="1036"/>
      <c r="T43" s="1036"/>
      <c r="U43" s="471"/>
      <c r="V43" s="1036"/>
      <c r="W43" s="1036"/>
      <c r="X43" s="1036"/>
      <c r="Y43" s="1036"/>
      <c r="Z43" s="1036"/>
      <c r="AA43" s="1493"/>
      <c r="AB43" s="493"/>
      <c r="AC43" s="493"/>
      <c r="AD43" s="493"/>
      <c r="AE43" s="493"/>
    </row>
    <row r="44" spans="1:31" s="1720" customFormat="1" ht="11.25" customHeight="1">
      <c r="A44" s="880"/>
      <c r="B44" s="1497"/>
      <c r="C44" s="1497"/>
      <c r="D44" s="275"/>
      <c r="K44" s="1036"/>
      <c r="L44" s="1497"/>
      <c r="M44" s="1497"/>
      <c r="N44" s="1036"/>
      <c r="O44" s="1036"/>
      <c r="P44" s="1036"/>
      <c r="Q44" s="1036"/>
      <c r="R44" s="1497"/>
      <c r="S44" s="1036"/>
      <c r="T44" s="1036"/>
      <c r="U44" s="471"/>
      <c r="V44" s="1036"/>
      <c r="W44" s="1036"/>
      <c r="X44" s="1036"/>
      <c r="Y44" s="1036"/>
      <c r="Z44" s="1036"/>
      <c r="AA44" s="1493"/>
      <c r="AB44" s="493"/>
      <c r="AC44" s="493"/>
      <c r="AD44" s="493"/>
      <c r="AE44" s="493"/>
    </row>
    <row r="45" spans="1:31" s="1720" customFormat="1" ht="11.25" customHeight="1">
      <c r="A45" s="880"/>
      <c r="B45" s="1497"/>
      <c r="C45" s="1497"/>
      <c r="D45" s="275"/>
      <c r="K45" s="1036"/>
      <c r="L45" s="1497"/>
      <c r="M45" s="1497"/>
      <c r="N45" s="1036"/>
      <c r="O45" s="1036"/>
      <c r="P45" s="1036"/>
      <c r="Q45" s="1036"/>
      <c r="R45" s="1497"/>
      <c r="S45" s="1036"/>
      <c r="T45" s="1036"/>
      <c r="U45" s="471"/>
      <c r="V45" s="1036"/>
      <c r="W45" s="1036"/>
      <c r="X45" s="1036"/>
      <c r="Y45" s="1036"/>
      <c r="Z45" s="1036"/>
      <c r="AA45" s="1493"/>
      <c r="AB45" s="493"/>
      <c r="AC45" s="493"/>
      <c r="AD45" s="493"/>
      <c r="AE45" s="493"/>
    </row>
    <row r="46" spans="1:31" s="1720" customFormat="1" ht="11.25" customHeight="1">
      <c r="A46" s="880"/>
      <c r="B46" s="1497"/>
      <c r="C46" s="1497"/>
      <c r="D46" s="275"/>
      <c r="K46" s="1036"/>
      <c r="L46" s="1497"/>
      <c r="M46" s="1497"/>
      <c r="N46" s="1036"/>
      <c r="O46" s="1036"/>
      <c r="P46" s="1036"/>
      <c r="Q46" s="1036"/>
      <c r="R46" s="1497"/>
      <c r="S46" s="1036"/>
      <c r="T46" s="1036"/>
      <c r="U46" s="471"/>
      <c r="V46" s="1036"/>
      <c r="W46" s="1036"/>
      <c r="X46" s="1036"/>
      <c r="Y46" s="1036"/>
      <c r="Z46" s="1036"/>
      <c r="AA46" s="1493"/>
      <c r="AB46" s="493"/>
      <c r="AC46" s="493"/>
      <c r="AD46" s="493"/>
      <c r="AE46" s="493"/>
    </row>
    <row r="47" spans="1:31" s="1720" customFormat="1" ht="11.25" customHeight="1">
      <c r="A47" s="880"/>
      <c r="B47" s="1497"/>
      <c r="C47" s="1497"/>
      <c r="D47" s="275"/>
      <c r="K47" s="1036"/>
      <c r="L47" s="1497"/>
      <c r="M47" s="1497"/>
      <c r="N47" s="1036"/>
      <c r="O47" s="1036"/>
      <c r="P47" s="1036"/>
      <c r="Q47" s="1036"/>
      <c r="R47" s="1497"/>
      <c r="S47" s="1036"/>
      <c r="T47" s="1036"/>
      <c r="U47" s="471"/>
      <c r="V47" s="1036"/>
      <c r="W47" s="1036"/>
      <c r="X47" s="1036"/>
      <c r="Y47" s="1036"/>
      <c r="Z47" s="1036"/>
      <c r="AA47" s="1493"/>
      <c r="AB47" s="493"/>
      <c r="AC47" s="493"/>
      <c r="AD47" s="493"/>
      <c r="AE47" s="493"/>
    </row>
    <row r="48" spans="1:31" s="1720" customFormat="1" ht="11.25" customHeight="1">
      <c r="A48" s="880"/>
      <c r="B48" s="1497"/>
      <c r="C48" s="1497"/>
      <c r="D48" s="275"/>
      <c r="K48" s="1036"/>
      <c r="L48" s="1497"/>
      <c r="M48" s="1497"/>
      <c r="N48" s="1036"/>
      <c r="O48" s="1036"/>
      <c r="P48" s="1036"/>
      <c r="Q48" s="1036"/>
      <c r="R48" s="1497"/>
      <c r="S48" s="1036"/>
      <c r="T48" s="1036"/>
      <c r="U48" s="471"/>
      <c r="V48" s="1036"/>
      <c r="W48" s="1036"/>
      <c r="X48" s="1036"/>
      <c r="Y48" s="1036"/>
      <c r="Z48" s="1036"/>
      <c r="AA48" s="1493"/>
      <c r="AB48" s="493"/>
      <c r="AC48" s="493"/>
      <c r="AD48" s="493"/>
      <c r="AE48" s="493"/>
    </row>
    <row r="49" spans="1:31" s="1720" customFormat="1" ht="11.25" customHeight="1">
      <c r="A49" s="880"/>
      <c r="B49" s="1497"/>
      <c r="C49" s="1497"/>
      <c r="D49" s="275"/>
      <c r="K49" s="1036"/>
      <c r="L49" s="1497"/>
      <c r="M49" s="1497"/>
      <c r="N49" s="1036"/>
      <c r="O49" s="1036"/>
      <c r="P49" s="1036"/>
      <c r="Q49" s="1036"/>
      <c r="R49" s="1497"/>
      <c r="S49" s="1036"/>
      <c r="T49" s="1036"/>
      <c r="U49" s="471"/>
      <c r="V49" s="1036"/>
      <c r="W49" s="1036"/>
      <c r="X49" s="1036"/>
      <c r="Y49" s="1036"/>
      <c r="Z49" s="1036"/>
      <c r="AA49" s="1493"/>
      <c r="AB49" s="493"/>
      <c r="AC49" s="493"/>
      <c r="AD49" s="493"/>
      <c r="AE49" s="493"/>
    </row>
    <row r="50" spans="1:31" s="1720" customFormat="1" ht="11.25" customHeight="1">
      <c r="A50" s="880"/>
      <c r="B50" s="1497"/>
      <c r="C50" s="1497"/>
      <c r="D50" s="275"/>
      <c r="K50" s="1036"/>
      <c r="L50" s="1497"/>
      <c r="M50" s="1497"/>
      <c r="N50" s="1036"/>
      <c r="O50" s="1036"/>
      <c r="P50" s="1036"/>
      <c r="Q50" s="1036"/>
      <c r="R50" s="1497"/>
      <c r="S50" s="1036"/>
      <c r="T50" s="1036"/>
      <c r="U50" s="471"/>
      <c r="V50" s="1036"/>
      <c r="W50" s="1036"/>
      <c r="X50" s="1036"/>
      <c r="Y50" s="1036"/>
      <c r="Z50" s="1036"/>
      <c r="AA50" s="1493"/>
      <c r="AB50" s="493"/>
      <c r="AC50" s="493"/>
      <c r="AD50" s="493"/>
      <c r="AE50" s="493"/>
    </row>
    <row r="51" spans="1:31" s="1720" customFormat="1" ht="11.25" customHeight="1">
      <c r="A51" s="880"/>
      <c r="B51" s="1497"/>
      <c r="C51" s="1497"/>
      <c r="D51" s="275"/>
      <c r="K51" s="1036"/>
      <c r="L51" s="1497"/>
      <c r="M51" s="1497"/>
      <c r="N51" s="1036"/>
      <c r="O51" s="1036"/>
      <c r="P51" s="1036"/>
      <c r="Q51" s="1036"/>
      <c r="R51" s="1497"/>
      <c r="S51" s="1036"/>
      <c r="T51" s="1036"/>
      <c r="U51" s="471"/>
      <c r="V51" s="1036"/>
      <c r="W51" s="1036"/>
      <c r="X51" s="1036"/>
      <c r="Y51" s="1036"/>
      <c r="Z51" s="1036"/>
      <c r="AA51" s="1493"/>
      <c r="AB51" s="493"/>
      <c r="AC51" s="493"/>
      <c r="AD51" s="493"/>
      <c r="AE51" s="493"/>
    </row>
    <row r="52" spans="1:31" s="1720" customFormat="1" ht="11.25" customHeight="1">
      <c r="A52" s="880"/>
      <c r="B52" s="1497"/>
      <c r="C52" s="1497"/>
      <c r="D52" s="275"/>
      <c r="K52" s="1036"/>
      <c r="L52" s="1497"/>
      <c r="M52" s="1497"/>
      <c r="N52" s="1036"/>
      <c r="O52" s="1036"/>
      <c r="P52" s="1036"/>
      <c r="Q52" s="1036"/>
      <c r="R52" s="1497"/>
      <c r="S52" s="1036"/>
      <c r="T52" s="1036"/>
      <c r="U52" s="471"/>
      <c r="V52" s="1036"/>
      <c r="W52" s="1036"/>
      <c r="X52" s="1036"/>
      <c r="Y52" s="1036"/>
      <c r="Z52" s="1036"/>
      <c r="AA52" s="1493"/>
      <c r="AB52" s="493"/>
      <c r="AC52" s="493"/>
      <c r="AD52" s="493"/>
      <c r="AE52" s="493"/>
    </row>
    <row r="53" spans="1:31" s="1720" customFormat="1" ht="11.25" customHeight="1">
      <c r="A53" s="880"/>
      <c r="B53" s="1497"/>
      <c r="C53" s="1497"/>
      <c r="D53" s="275"/>
      <c r="K53" s="1036"/>
      <c r="L53" s="1497"/>
      <c r="M53" s="1497"/>
      <c r="N53" s="1036"/>
      <c r="O53" s="1036"/>
      <c r="P53" s="1036"/>
      <c r="Q53" s="1036"/>
      <c r="R53" s="1497"/>
      <c r="S53" s="1036"/>
      <c r="T53" s="1036"/>
      <c r="U53" s="471"/>
      <c r="V53" s="1036"/>
      <c r="W53" s="1036"/>
      <c r="X53" s="1036"/>
      <c r="Y53" s="1036"/>
      <c r="Z53" s="1036"/>
      <c r="AA53" s="1493"/>
      <c r="AB53" s="493"/>
      <c r="AC53" s="493"/>
      <c r="AD53" s="493"/>
      <c r="AE53" s="493"/>
    </row>
    <row r="54" spans="1:31" s="1720" customFormat="1" ht="11.25" customHeight="1">
      <c r="A54" s="880"/>
      <c r="B54" s="1497"/>
      <c r="C54" s="1497"/>
      <c r="D54" s="275"/>
      <c r="K54" s="1036"/>
      <c r="L54" s="1497"/>
      <c r="M54" s="1497"/>
      <c r="N54" s="1036"/>
      <c r="O54" s="1036"/>
      <c r="P54" s="1036"/>
      <c r="Q54" s="1036"/>
      <c r="R54" s="1497"/>
      <c r="S54" s="1036"/>
      <c r="T54" s="1036"/>
      <c r="U54" s="471"/>
      <c r="V54" s="1036"/>
      <c r="W54" s="1036"/>
      <c r="X54" s="1036"/>
      <c r="Y54" s="1036"/>
      <c r="Z54" s="1036"/>
      <c r="AA54" s="1493"/>
      <c r="AB54" s="493"/>
      <c r="AC54" s="493"/>
      <c r="AD54" s="493"/>
      <c r="AE54" s="493"/>
    </row>
    <row r="55" spans="1:31" s="1720" customFormat="1" ht="11.25" customHeight="1">
      <c r="A55" s="880"/>
      <c r="B55" s="1497"/>
      <c r="C55" s="1497"/>
      <c r="D55" s="275"/>
      <c r="K55" s="1036"/>
      <c r="L55" s="1497"/>
      <c r="M55" s="1497"/>
      <c r="N55" s="1036"/>
      <c r="O55" s="1036"/>
      <c r="P55" s="1036"/>
      <c r="Q55" s="1036"/>
      <c r="R55" s="1497"/>
      <c r="S55" s="1036"/>
      <c r="T55" s="1036"/>
      <c r="U55" s="471"/>
      <c r="V55" s="1036"/>
      <c r="W55" s="1036"/>
      <c r="X55" s="1036"/>
      <c r="Y55" s="1036"/>
      <c r="Z55" s="1036"/>
      <c r="AA55" s="1493"/>
      <c r="AB55" s="493"/>
      <c r="AC55" s="493"/>
      <c r="AD55" s="493"/>
      <c r="AE55" s="493"/>
    </row>
    <row r="56" spans="1:31" s="1720" customFormat="1" ht="11.25" customHeight="1">
      <c r="A56" s="880"/>
      <c r="B56" s="1497"/>
      <c r="C56" s="1497"/>
      <c r="D56" s="275"/>
      <c r="K56" s="1036"/>
      <c r="L56" s="1497"/>
      <c r="M56" s="1497"/>
      <c r="N56" s="1036"/>
      <c r="O56" s="1036"/>
      <c r="P56" s="1036"/>
      <c r="Q56" s="1036"/>
      <c r="R56" s="1497"/>
      <c r="S56" s="1036"/>
      <c r="T56" s="1036"/>
      <c r="U56" s="471"/>
      <c r="V56" s="1036"/>
      <c r="W56" s="1036"/>
      <c r="X56" s="1036"/>
      <c r="Y56" s="1036"/>
      <c r="Z56" s="1036"/>
      <c r="AA56" s="1493"/>
      <c r="AB56" s="493"/>
      <c r="AC56" s="493"/>
      <c r="AD56" s="493"/>
      <c r="AE56" s="493"/>
    </row>
    <row r="57" spans="1:31" s="1720" customFormat="1" ht="11.25" customHeight="1">
      <c r="A57" s="880"/>
      <c r="B57" s="1497"/>
      <c r="C57" s="1497"/>
      <c r="D57" s="275"/>
      <c r="K57" s="1036"/>
      <c r="L57" s="1497"/>
      <c r="M57" s="1497"/>
      <c r="N57" s="1036"/>
      <c r="O57" s="1036"/>
      <c r="P57" s="1036"/>
      <c r="Q57" s="1036"/>
      <c r="R57" s="1497"/>
      <c r="S57" s="1036"/>
      <c r="T57" s="1036"/>
      <c r="U57" s="471"/>
      <c r="V57" s="1036"/>
      <c r="W57" s="1036"/>
      <c r="X57" s="1036"/>
      <c r="Y57" s="1036"/>
      <c r="Z57" s="1036"/>
      <c r="AA57" s="1493"/>
      <c r="AB57" s="493"/>
      <c r="AC57" s="493"/>
      <c r="AD57" s="493"/>
      <c r="AE57" s="493"/>
    </row>
    <row r="58" spans="1:31" s="1720" customFormat="1" ht="11.25" customHeight="1">
      <c r="A58" s="880"/>
      <c r="B58" s="1497"/>
      <c r="C58" s="1497"/>
      <c r="D58" s="275"/>
      <c r="K58" s="1036"/>
      <c r="L58" s="1497"/>
      <c r="M58" s="1497"/>
      <c r="N58" s="1036"/>
      <c r="O58" s="1036"/>
      <c r="P58" s="1036"/>
      <c r="Q58" s="1036"/>
      <c r="R58" s="1497"/>
      <c r="S58" s="1036"/>
      <c r="T58" s="1036"/>
      <c r="U58" s="471"/>
      <c r="V58" s="1036"/>
      <c r="W58" s="1036"/>
      <c r="X58" s="1036"/>
      <c r="Y58" s="1036"/>
      <c r="Z58" s="1036"/>
      <c r="AA58" s="1493"/>
      <c r="AB58" s="493"/>
      <c r="AC58" s="493"/>
      <c r="AD58" s="493"/>
      <c r="AE58" s="493"/>
    </row>
    <row r="59" spans="1:31" s="1720" customFormat="1" ht="11.25" customHeight="1">
      <c r="A59" s="880"/>
      <c r="B59" s="1497"/>
      <c r="C59" s="1497"/>
      <c r="D59" s="275"/>
      <c r="K59" s="1036"/>
      <c r="L59" s="1497"/>
      <c r="M59" s="1497"/>
      <c r="N59" s="1036"/>
      <c r="O59" s="1036"/>
      <c r="P59" s="1036"/>
      <c r="Q59" s="1036"/>
      <c r="R59" s="1497"/>
      <c r="S59" s="1036"/>
      <c r="T59" s="1036"/>
      <c r="U59" s="471"/>
      <c r="V59" s="1036"/>
      <c r="W59" s="1036"/>
      <c r="X59" s="1036"/>
      <c r="Y59" s="1036"/>
      <c r="Z59" s="1036"/>
      <c r="AA59" s="1493"/>
      <c r="AB59" s="493"/>
      <c r="AC59" s="493"/>
      <c r="AD59" s="493"/>
      <c r="AE59" s="493"/>
    </row>
    <row r="60" spans="1:31" s="1720" customFormat="1" ht="11.25" customHeight="1">
      <c r="A60" s="880"/>
      <c r="B60" s="1497"/>
      <c r="C60" s="1497"/>
      <c r="D60" s="275"/>
      <c r="K60" s="1036"/>
      <c r="L60" s="1497"/>
      <c r="M60" s="1497"/>
      <c r="N60" s="1036"/>
      <c r="O60" s="1036"/>
      <c r="P60" s="1036"/>
      <c r="Q60" s="1036"/>
      <c r="R60" s="1497"/>
      <c r="S60" s="1036"/>
      <c r="T60" s="1036"/>
      <c r="U60" s="471"/>
      <c r="V60" s="1036"/>
      <c r="W60" s="1036"/>
      <c r="X60" s="1036"/>
      <c r="Y60" s="1036"/>
      <c r="Z60" s="1036"/>
      <c r="AA60" s="1493"/>
      <c r="AB60" s="493"/>
      <c r="AC60" s="493"/>
      <c r="AD60" s="493"/>
      <c r="AE60" s="493"/>
    </row>
    <row r="61" spans="1:31" s="1720" customFormat="1" ht="11.25" customHeight="1">
      <c r="A61" s="880"/>
      <c r="B61" s="1497"/>
      <c r="C61" s="1497"/>
      <c r="D61" s="275"/>
      <c r="K61" s="1036"/>
      <c r="L61" s="1497"/>
      <c r="M61" s="1497"/>
      <c r="N61" s="1036"/>
      <c r="O61" s="1036"/>
      <c r="P61" s="1036"/>
      <c r="Q61" s="1036"/>
      <c r="R61" s="1497"/>
      <c r="S61" s="1036"/>
      <c r="T61" s="1036"/>
      <c r="U61" s="471"/>
      <c r="V61" s="1036"/>
      <c r="W61" s="1036"/>
      <c r="X61" s="1036"/>
      <c r="Y61" s="1036"/>
      <c r="Z61" s="1036"/>
      <c r="AA61" s="1493"/>
      <c r="AB61" s="493"/>
      <c r="AC61" s="493"/>
      <c r="AD61" s="493"/>
      <c r="AE61" s="493"/>
    </row>
    <row r="62" spans="1:31" s="1720" customFormat="1" ht="11.25" customHeight="1">
      <c r="A62" s="880"/>
      <c r="B62" s="1497"/>
      <c r="C62" s="1497"/>
      <c r="D62" s="275"/>
      <c r="K62" s="1036"/>
      <c r="L62" s="1497"/>
      <c r="M62" s="1497"/>
      <c r="N62" s="1036"/>
      <c r="O62" s="1036"/>
      <c r="P62" s="1036"/>
      <c r="Q62" s="1036"/>
      <c r="R62" s="1497"/>
      <c r="S62" s="1036"/>
      <c r="T62" s="1036"/>
      <c r="U62" s="471"/>
      <c r="V62" s="1036"/>
      <c r="W62" s="1036"/>
      <c r="X62" s="1036"/>
      <c r="Y62" s="1036"/>
      <c r="Z62" s="1036"/>
      <c r="AA62" s="1493"/>
      <c r="AB62" s="493"/>
      <c r="AC62" s="493"/>
      <c r="AD62" s="493"/>
      <c r="AE62" s="493"/>
    </row>
    <row r="63" spans="1:31" s="1720" customFormat="1" ht="11.25" customHeight="1">
      <c r="A63" s="880"/>
      <c r="B63" s="1497"/>
      <c r="C63" s="1497"/>
      <c r="D63" s="275"/>
      <c r="K63" s="1036"/>
      <c r="L63" s="1497"/>
      <c r="M63" s="1497"/>
      <c r="N63" s="1036"/>
      <c r="O63" s="1036"/>
      <c r="P63" s="1036"/>
      <c r="Q63" s="1036"/>
      <c r="R63" s="1497"/>
      <c r="S63" s="1036"/>
      <c r="T63" s="1036"/>
      <c r="U63" s="471"/>
      <c r="V63" s="1036"/>
      <c r="W63" s="1036"/>
      <c r="X63" s="1036"/>
      <c r="Y63" s="1036"/>
      <c r="Z63" s="1036"/>
      <c r="AA63" s="1493"/>
      <c r="AB63" s="493"/>
      <c r="AC63" s="493"/>
      <c r="AD63" s="493"/>
      <c r="AE63" s="493"/>
    </row>
    <row r="64" spans="1:31" s="1720" customFormat="1" ht="11.25" customHeight="1">
      <c r="A64" s="880"/>
      <c r="B64" s="1497"/>
      <c r="C64" s="1497"/>
      <c r="D64" s="275"/>
      <c r="K64" s="1036"/>
      <c r="L64" s="1497"/>
      <c r="M64" s="1497"/>
      <c r="N64" s="1036"/>
      <c r="O64" s="1036"/>
      <c r="P64" s="1036"/>
      <c r="Q64" s="1036"/>
      <c r="R64" s="1497"/>
      <c r="S64" s="1036"/>
      <c r="T64" s="1036"/>
      <c r="U64" s="471"/>
      <c r="V64" s="1036"/>
      <c r="W64" s="1036"/>
      <c r="X64" s="1036"/>
      <c r="Y64" s="1036"/>
      <c r="Z64" s="1036"/>
      <c r="AA64" s="1493"/>
      <c r="AB64" s="493"/>
      <c r="AC64" s="493"/>
      <c r="AD64" s="493"/>
      <c r="AE64" s="493"/>
    </row>
    <row r="65" spans="1:31" s="1720" customFormat="1" ht="11.25" customHeight="1">
      <c r="A65" s="880"/>
      <c r="B65" s="1497"/>
      <c r="C65" s="1497"/>
      <c r="D65" s="275"/>
      <c r="K65" s="1036"/>
      <c r="L65" s="1497"/>
      <c r="M65" s="1497"/>
      <c r="N65" s="1036"/>
      <c r="O65" s="1036"/>
      <c r="P65" s="1036"/>
      <c r="Q65" s="1036"/>
      <c r="R65" s="1497"/>
      <c r="S65" s="1036"/>
      <c r="T65" s="1036"/>
      <c r="U65" s="471"/>
      <c r="V65" s="1036"/>
      <c r="W65" s="1036"/>
      <c r="X65" s="1036"/>
      <c r="Y65" s="1036"/>
      <c r="Z65" s="1036"/>
      <c r="AA65" s="1493"/>
      <c r="AB65" s="493"/>
      <c r="AC65" s="493"/>
      <c r="AD65" s="493"/>
      <c r="AE65" s="493"/>
    </row>
    <row r="66" spans="1:31" s="1720" customFormat="1" ht="11.25" customHeight="1">
      <c r="A66" s="880"/>
      <c r="B66" s="1497"/>
      <c r="C66" s="1497"/>
      <c r="D66" s="275"/>
      <c r="K66" s="1036"/>
      <c r="L66" s="1497"/>
      <c r="M66" s="1497"/>
      <c r="N66" s="1036"/>
      <c r="O66" s="1036"/>
      <c r="P66" s="1036"/>
      <c r="Q66" s="1036"/>
      <c r="R66" s="1497"/>
      <c r="S66" s="1036"/>
      <c r="T66" s="1036"/>
      <c r="U66" s="471"/>
      <c r="V66" s="1036"/>
      <c r="W66" s="1036"/>
      <c r="X66" s="1036"/>
      <c r="Y66" s="1036"/>
      <c r="Z66" s="1036"/>
      <c r="AA66" s="1493"/>
      <c r="AB66" s="493"/>
      <c r="AC66" s="493"/>
      <c r="AD66" s="493"/>
      <c r="AE66" s="493"/>
    </row>
    <row r="67" spans="1:31" s="1720" customFormat="1" ht="11.25" customHeight="1">
      <c r="A67" s="880"/>
      <c r="B67" s="1497"/>
      <c r="C67" s="1497"/>
      <c r="D67" s="275"/>
      <c r="K67" s="1036"/>
      <c r="L67" s="1497"/>
      <c r="M67" s="1497"/>
      <c r="N67" s="1036"/>
      <c r="O67" s="1036"/>
      <c r="P67" s="1036"/>
      <c r="Q67" s="1036"/>
      <c r="R67" s="1497"/>
      <c r="S67" s="1036"/>
      <c r="T67" s="1036"/>
      <c r="U67" s="471"/>
      <c r="V67" s="1036"/>
      <c r="W67" s="1036"/>
      <c r="X67" s="1036"/>
      <c r="Y67" s="1036"/>
      <c r="Z67" s="1036"/>
      <c r="AA67" s="1493"/>
      <c r="AB67" s="493"/>
      <c r="AC67" s="493"/>
      <c r="AD67" s="493"/>
      <c r="AE67" s="493"/>
    </row>
    <row r="68" spans="1:31" s="1720" customFormat="1" ht="11.25" customHeight="1">
      <c r="A68" s="880"/>
      <c r="B68" s="1497"/>
      <c r="C68" s="1497"/>
      <c r="D68" s="275"/>
      <c r="K68" s="1036"/>
      <c r="L68" s="1497"/>
      <c r="M68" s="1497"/>
      <c r="N68" s="1036"/>
      <c r="O68" s="1036"/>
      <c r="P68" s="1036"/>
      <c r="Q68" s="1036"/>
      <c r="R68" s="1497"/>
      <c r="S68" s="1036"/>
      <c r="T68" s="1036"/>
      <c r="U68" s="471"/>
      <c r="V68" s="1036"/>
      <c r="W68" s="1036"/>
      <c r="X68" s="1036"/>
      <c r="Y68" s="1036"/>
      <c r="Z68" s="1036"/>
      <c r="AA68" s="1493"/>
      <c r="AB68" s="493"/>
      <c r="AC68" s="493"/>
      <c r="AD68" s="493"/>
      <c r="AE68" s="493"/>
    </row>
    <row r="69" spans="1:31" s="1720" customFormat="1" ht="11.25" customHeight="1">
      <c r="A69" s="880"/>
      <c r="B69" s="1497"/>
      <c r="C69" s="1497"/>
      <c r="D69" s="275"/>
      <c r="K69" s="1036"/>
      <c r="L69" s="1497"/>
      <c r="M69" s="1497"/>
      <c r="N69" s="1036"/>
      <c r="O69" s="1036"/>
      <c r="P69" s="1036"/>
      <c r="Q69" s="1036"/>
      <c r="R69" s="1497"/>
      <c r="S69" s="1036"/>
      <c r="T69" s="1036"/>
      <c r="U69" s="471"/>
      <c r="V69" s="1036"/>
      <c r="W69" s="1036"/>
      <c r="X69" s="1036"/>
      <c r="Y69" s="1036"/>
      <c r="Z69" s="1036"/>
      <c r="AA69" s="1493"/>
      <c r="AB69" s="493"/>
      <c r="AC69" s="493"/>
      <c r="AD69" s="493"/>
      <c r="AE69" s="493"/>
    </row>
    <row r="70" spans="1:31" s="1720" customFormat="1" ht="11.25" customHeight="1">
      <c r="A70" s="880"/>
      <c r="B70" s="1497"/>
      <c r="C70" s="1497"/>
      <c r="D70" s="275"/>
      <c r="K70" s="1036"/>
      <c r="L70" s="1497"/>
      <c r="M70" s="1497"/>
      <c r="N70" s="1036"/>
      <c r="O70" s="1036"/>
      <c r="P70" s="1036"/>
      <c r="Q70" s="1036"/>
      <c r="R70" s="1497"/>
      <c r="S70" s="1036"/>
      <c r="T70" s="1036"/>
      <c r="U70" s="471"/>
      <c r="V70" s="1036"/>
      <c r="W70" s="1036"/>
      <c r="X70" s="1036"/>
      <c r="Y70" s="1036"/>
      <c r="Z70" s="1036"/>
      <c r="AA70" s="1493"/>
      <c r="AB70" s="493"/>
      <c r="AC70" s="493"/>
      <c r="AD70" s="493"/>
      <c r="AE70" s="493"/>
    </row>
    <row r="71" spans="1:31" s="1720" customFormat="1" ht="11.25" customHeight="1">
      <c r="A71" s="880"/>
      <c r="B71" s="1497"/>
      <c r="C71" s="1497"/>
      <c r="D71" s="275"/>
      <c r="K71" s="1036"/>
      <c r="L71" s="1497"/>
      <c r="M71" s="1497"/>
      <c r="N71" s="1036"/>
      <c r="O71" s="1036"/>
      <c r="P71" s="1036"/>
      <c r="Q71" s="1036"/>
      <c r="R71" s="1497"/>
      <c r="S71" s="1036"/>
      <c r="T71" s="1036"/>
      <c r="U71" s="471"/>
      <c r="V71" s="1036"/>
      <c r="W71" s="1036"/>
      <c r="X71" s="1036"/>
      <c r="Y71" s="1036"/>
      <c r="Z71" s="1036"/>
      <c r="AA71" s="1493"/>
      <c r="AB71" s="493"/>
      <c r="AC71" s="493"/>
      <c r="AD71" s="493"/>
      <c r="AE71" s="493"/>
    </row>
    <row r="72" spans="1:31" s="1720" customFormat="1" ht="11.25" customHeight="1">
      <c r="A72" s="880"/>
      <c r="B72" s="1497"/>
      <c r="C72" s="1497"/>
      <c r="D72" s="275"/>
      <c r="K72" s="1036"/>
      <c r="L72" s="1497"/>
      <c r="M72" s="1497"/>
      <c r="N72" s="1036"/>
      <c r="O72" s="1036"/>
      <c r="P72" s="1036"/>
      <c r="Q72" s="1036"/>
      <c r="R72" s="1497"/>
      <c r="S72" s="1036"/>
      <c r="T72" s="1036"/>
      <c r="U72" s="471"/>
      <c r="V72" s="1036"/>
      <c r="W72" s="1036"/>
      <c r="X72" s="1036"/>
      <c r="Y72" s="1036"/>
      <c r="Z72" s="1036"/>
      <c r="AA72" s="1493"/>
      <c r="AB72" s="493"/>
      <c r="AC72" s="493"/>
      <c r="AD72" s="493"/>
      <c r="AE72" s="493"/>
    </row>
    <row r="73" spans="1:31" s="1720" customFormat="1" ht="11.25" customHeight="1">
      <c r="A73" s="880"/>
      <c r="B73" s="1497"/>
      <c r="C73" s="1497"/>
      <c r="D73" s="275"/>
      <c r="K73" s="1036"/>
      <c r="L73" s="1497"/>
      <c r="M73" s="1497"/>
      <c r="N73" s="1036"/>
      <c r="O73" s="1036"/>
      <c r="P73" s="1036"/>
      <c r="Q73" s="1036"/>
      <c r="R73" s="1497"/>
      <c r="S73" s="1036"/>
      <c r="T73" s="1036"/>
      <c r="U73" s="471"/>
      <c r="V73" s="1036"/>
      <c r="W73" s="1036"/>
      <c r="X73" s="1036"/>
      <c r="Y73" s="1036"/>
      <c r="Z73" s="1036"/>
      <c r="AA73" s="1493"/>
      <c r="AB73" s="493"/>
      <c r="AC73" s="493"/>
      <c r="AD73" s="493"/>
      <c r="AE73" s="493"/>
    </row>
    <row r="74" spans="1:31" s="1720" customFormat="1" ht="11.25" customHeight="1">
      <c r="A74" s="880"/>
      <c r="B74" s="1497"/>
      <c r="C74" s="1497"/>
      <c r="D74" s="275"/>
      <c r="K74" s="1036"/>
      <c r="L74" s="1497"/>
      <c r="M74" s="1497"/>
      <c r="N74" s="1036"/>
      <c r="O74" s="1036"/>
      <c r="P74" s="1036"/>
      <c r="Q74" s="1036"/>
      <c r="R74" s="1497"/>
      <c r="S74" s="1036"/>
      <c r="T74" s="1036"/>
      <c r="U74" s="471"/>
      <c r="V74" s="1036"/>
      <c r="W74" s="1036"/>
      <c r="X74" s="1036"/>
      <c r="Y74" s="1036"/>
      <c r="Z74" s="1036"/>
      <c r="AA74" s="1493"/>
      <c r="AB74" s="493"/>
      <c r="AC74" s="493"/>
      <c r="AD74" s="493"/>
      <c r="AE74" s="493"/>
    </row>
    <row r="75" spans="1:31" s="1720" customFormat="1" ht="11.25" customHeight="1">
      <c r="A75" s="880"/>
      <c r="B75" s="1497"/>
      <c r="C75" s="1497"/>
      <c r="D75" s="275"/>
      <c r="K75" s="1036"/>
      <c r="L75" s="1497"/>
      <c r="M75" s="1497"/>
      <c r="N75" s="1036"/>
      <c r="O75" s="1036"/>
      <c r="P75" s="1036"/>
      <c r="Q75" s="1036"/>
      <c r="R75" s="1497"/>
      <c r="S75" s="1036"/>
      <c r="T75" s="1036"/>
      <c r="U75" s="471"/>
      <c r="V75" s="1036"/>
      <c r="W75" s="1036"/>
      <c r="X75" s="1036"/>
      <c r="Y75" s="1036"/>
      <c r="Z75" s="1036"/>
      <c r="AA75" s="1493"/>
      <c r="AB75" s="493"/>
      <c r="AC75" s="493"/>
      <c r="AD75" s="493"/>
      <c r="AE75" s="493"/>
    </row>
    <row r="76" spans="1:31" s="1720" customFormat="1" ht="11.25" customHeight="1">
      <c r="A76" s="880"/>
      <c r="B76" s="1497"/>
      <c r="C76" s="1497"/>
      <c r="D76" s="275"/>
      <c r="K76" s="1036"/>
      <c r="L76" s="1497"/>
      <c r="M76" s="1497"/>
      <c r="N76" s="1036"/>
      <c r="O76" s="1036"/>
      <c r="P76" s="1036"/>
      <c r="Q76" s="1036"/>
      <c r="R76" s="1497"/>
      <c r="S76" s="1036"/>
      <c r="T76" s="1036"/>
      <c r="U76" s="471"/>
      <c r="V76" s="1036"/>
      <c r="W76" s="1036"/>
      <c r="X76" s="1036"/>
      <c r="Y76" s="1036"/>
      <c r="Z76" s="1036"/>
      <c r="AA76" s="1493"/>
      <c r="AB76" s="493"/>
      <c r="AC76" s="493"/>
      <c r="AD76" s="493"/>
      <c r="AE76" s="493"/>
    </row>
    <row r="77" spans="1:31" s="1720" customFormat="1" ht="11.25" customHeight="1">
      <c r="A77" s="880"/>
      <c r="B77" s="1497"/>
      <c r="C77" s="1497"/>
      <c r="D77" s="275"/>
      <c r="K77" s="1036"/>
      <c r="L77" s="1497"/>
      <c r="M77" s="1497"/>
      <c r="N77" s="1036"/>
      <c r="O77" s="1036"/>
      <c r="P77" s="1036"/>
      <c r="Q77" s="1036"/>
      <c r="R77" s="1497"/>
      <c r="S77" s="1036"/>
      <c r="T77" s="1036"/>
      <c r="U77" s="471"/>
      <c r="V77" s="1036"/>
      <c r="W77" s="1036"/>
      <c r="X77" s="1036"/>
      <c r="Y77" s="1036"/>
      <c r="Z77" s="1036"/>
      <c r="AA77" s="1493"/>
      <c r="AB77" s="493"/>
      <c r="AC77" s="493"/>
      <c r="AD77" s="493"/>
      <c r="AE77" s="493"/>
    </row>
    <row r="78" spans="1:31" s="1720" customFormat="1" ht="11.25" customHeight="1">
      <c r="A78" s="880"/>
      <c r="B78" s="1497"/>
      <c r="C78" s="1497"/>
      <c r="D78" s="275"/>
      <c r="K78" s="1036"/>
      <c r="L78" s="1497"/>
      <c r="M78" s="1497"/>
      <c r="N78" s="1036"/>
      <c r="O78" s="1036"/>
      <c r="P78" s="1036"/>
      <c r="Q78" s="1036"/>
      <c r="R78" s="1497"/>
      <c r="S78" s="1036"/>
      <c r="T78" s="1036"/>
      <c r="U78" s="471"/>
      <c r="V78" s="1036"/>
      <c r="W78" s="1036"/>
      <c r="X78" s="1036"/>
      <c r="Y78" s="1036"/>
      <c r="Z78" s="1036"/>
      <c r="AA78" s="1493"/>
      <c r="AB78" s="493"/>
      <c r="AC78" s="493"/>
      <c r="AD78" s="493"/>
      <c r="AE78" s="493"/>
    </row>
    <row r="79" spans="1:31" s="1720" customFormat="1" ht="11.25" customHeight="1">
      <c r="A79" s="880"/>
      <c r="B79" s="1497"/>
      <c r="C79" s="1497"/>
      <c r="D79" s="275"/>
      <c r="K79" s="1036"/>
      <c r="L79" s="1497"/>
      <c r="M79" s="1497"/>
      <c r="N79" s="1036"/>
      <c r="O79" s="1036"/>
      <c r="P79" s="1036"/>
      <c r="Q79" s="1036"/>
      <c r="R79" s="1497"/>
      <c r="S79" s="1036"/>
      <c r="T79" s="1036"/>
      <c r="U79" s="471"/>
      <c r="V79" s="1036"/>
      <c r="W79" s="1036"/>
      <c r="X79" s="1036"/>
      <c r="Y79" s="1036"/>
      <c r="Z79" s="1036"/>
      <c r="AA79" s="1493"/>
      <c r="AB79" s="493"/>
      <c r="AC79" s="493"/>
      <c r="AD79" s="493"/>
      <c r="AE79" s="493"/>
    </row>
    <row r="80" spans="1:31" s="1720" customFormat="1" ht="11.25" customHeight="1">
      <c r="A80" s="880"/>
      <c r="B80" s="1497"/>
      <c r="C80" s="1497"/>
      <c r="D80" s="275"/>
      <c r="K80" s="1036"/>
      <c r="L80" s="1497"/>
      <c r="M80" s="1497"/>
      <c r="N80" s="1036"/>
      <c r="O80" s="1036"/>
      <c r="P80" s="1036"/>
      <c r="Q80" s="1036"/>
      <c r="R80" s="1497"/>
      <c r="S80" s="1036"/>
      <c r="T80" s="1036"/>
      <c r="U80" s="471"/>
      <c r="V80" s="1036"/>
      <c r="W80" s="1036"/>
      <c r="X80" s="1036"/>
      <c r="Y80" s="1036"/>
      <c r="Z80" s="1036"/>
      <c r="AA80" s="1493"/>
      <c r="AB80" s="493"/>
      <c r="AC80" s="493"/>
      <c r="AD80" s="493"/>
      <c r="AE80" s="493"/>
    </row>
    <row r="81" spans="1:31" s="1720" customFormat="1" ht="11.25" customHeight="1">
      <c r="A81" s="880"/>
      <c r="B81" s="1497"/>
      <c r="C81" s="1497"/>
      <c r="D81" s="275"/>
      <c r="K81" s="1036"/>
      <c r="L81" s="1497"/>
      <c r="M81" s="1497"/>
      <c r="N81" s="1036"/>
      <c r="O81" s="1036"/>
      <c r="P81" s="1036"/>
      <c r="Q81" s="1036"/>
      <c r="R81" s="1497"/>
      <c r="S81" s="1036"/>
      <c r="T81" s="1036"/>
      <c r="U81" s="471"/>
      <c r="V81" s="1036"/>
      <c r="W81" s="1036"/>
      <c r="X81" s="1036"/>
      <c r="Y81" s="1036"/>
      <c r="Z81" s="1036"/>
      <c r="AA81" s="1493"/>
      <c r="AB81" s="493"/>
      <c r="AC81" s="493"/>
      <c r="AD81" s="493"/>
      <c r="AE81" s="493"/>
    </row>
    <row r="82" spans="1:31" s="1720" customFormat="1" ht="11.25" customHeight="1">
      <c r="A82" s="880"/>
      <c r="B82" s="1497"/>
      <c r="C82" s="1497"/>
      <c r="D82" s="275"/>
      <c r="K82" s="1036"/>
      <c r="L82" s="1497"/>
      <c r="M82" s="1497"/>
      <c r="N82" s="1036"/>
      <c r="O82" s="1036"/>
      <c r="P82" s="1036"/>
      <c r="Q82" s="1036"/>
      <c r="R82" s="1497"/>
      <c r="S82" s="1036"/>
      <c r="T82" s="1036"/>
      <c r="U82" s="471"/>
      <c r="V82" s="1036"/>
      <c r="W82" s="1036"/>
      <c r="X82" s="1036"/>
      <c r="Y82" s="1036"/>
      <c r="Z82" s="1036"/>
      <c r="AA82" s="1493"/>
      <c r="AB82" s="493"/>
      <c r="AC82" s="493"/>
      <c r="AD82" s="493"/>
      <c r="AE82" s="493"/>
    </row>
    <row r="83" spans="1:31" s="1720" customFormat="1" ht="11.25" customHeight="1">
      <c r="A83" s="880"/>
      <c r="B83" s="1497"/>
      <c r="C83" s="1497"/>
      <c r="D83" s="275"/>
      <c r="K83" s="1036"/>
      <c r="L83" s="1497"/>
      <c r="M83" s="1497"/>
      <c r="N83" s="1036"/>
      <c r="O83" s="1036"/>
      <c r="P83" s="1036"/>
      <c r="Q83" s="1036"/>
      <c r="R83" s="1497"/>
      <c r="S83" s="1036"/>
      <c r="T83" s="1036"/>
      <c r="U83" s="471"/>
      <c r="V83" s="1036"/>
      <c r="W83" s="1036"/>
      <c r="X83" s="1036"/>
      <c r="Y83" s="1036"/>
      <c r="Z83" s="1036"/>
      <c r="AA83" s="1493"/>
      <c r="AB83" s="493"/>
      <c r="AC83" s="493"/>
      <c r="AD83" s="493"/>
      <c r="AE83" s="493"/>
    </row>
    <row r="84" spans="1:31" s="1720" customFormat="1" ht="11.25" customHeight="1">
      <c r="A84" s="880"/>
      <c r="B84" s="1497"/>
      <c r="C84" s="1497"/>
      <c r="D84" s="275"/>
      <c r="K84" s="1036"/>
      <c r="L84" s="1497"/>
      <c r="M84" s="1497"/>
      <c r="N84" s="1036"/>
      <c r="O84" s="1036"/>
      <c r="P84" s="1036"/>
      <c r="Q84" s="1036"/>
      <c r="R84" s="1497"/>
      <c r="S84" s="1036"/>
      <c r="T84" s="1036"/>
      <c r="U84" s="471"/>
      <c r="V84" s="1036"/>
      <c r="W84" s="1036"/>
      <c r="X84" s="1036"/>
      <c r="Y84" s="1036"/>
      <c r="Z84" s="1036"/>
      <c r="AA84" s="1493"/>
      <c r="AB84" s="493"/>
      <c r="AC84" s="493"/>
      <c r="AD84" s="493"/>
      <c r="AE84" s="493"/>
    </row>
    <row r="85" spans="1:31" s="1720" customFormat="1" ht="11.25" customHeight="1">
      <c r="A85" s="880"/>
      <c r="B85" s="1497"/>
      <c r="C85" s="1497"/>
      <c r="D85" s="275"/>
      <c r="K85" s="1036"/>
      <c r="L85" s="1497"/>
      <c r="M85" s="1497"/>
      <c r="N85" s="1036"/>
      <c r="O85" s="1036"/>
      <c r="P85" s="1036"/>
      <c r="Q85" s="1036"/>
      <c r="R85" s="1497"/>
      <c r="S85" s="1036"/>
      <c r="T85" s="1036"/>
      <c r="U85" s="471"/>
      <c r="V85" s="1036"/>
      <c r="W85" s="1036"/>
      <c r="X85" s="1036"/>
      <c r="Y85" s="1036"/>
      <c r="Z85" s="1036"/>
      <c r="AA85" s="1493"/>
      <c r="AB85" s="493"/>
      <c r="AC85" s="493"/>
      <c r="AD85" s="493"/>
      <c r="AE85" s="493"/>
    </row>
    <row r="86" spans="1:31" s="1720" customFormat="1" ht="11.25" customHeight="1">
      <c r="A86" s="880"/>
      <c r="B86" s="1497"/>
      <c r="C86" s="1497"/>
      <c r="D86" s="275"/>
      <c r="K86" s="1036"/>
      <c r="L86" s="1497"/>
      <c r="M86" s="1497"/>
      <c r="N86" s="1036"/>
      <c r="O86" s="1036"/>
      <c r="P86" s="1036"/>
      <c r="Q86" s="1036"/>
      <c r="R86" s="1497"/>
      <c r="S86" s="1036"/>
      <c r="T86" s="1036"/>
      <c r="U86" s="471"/>
      <c r="V86" s="1036"/>
      <c r="W86" s="1036"/>
      <c r="X86" s="1036"/>
      <c r="Y86" s="1036"/>
      <c r="Z86" s="1036"/>
      <c r="AA86" s="1493"/>
      <c r="AB86" s="493"/>
      <c r="AC86" s="493"/>
      <c r="AD86" s="493"/>
      <c r="AE86" s="493"/>
    </row>
    <row r="87" spans="1:31" s="1720" customFormat="1" ht="11.25" customHeight="1">
      <c r="A87" s="880"/>
      <c r="B87" s="1497"/>
      <c r="C87" s="1497"/>
      <c r="D87" s="275"/>
      <c r="K87" s="1036"/>
      <c r="L87" s="1497"/>
      <c r="M87" s="1497"/>
      <c r="N87" s="1036"/>
      <c r="O87" s="1036"/>
      <c r="P87" s="1036"/>
      <c r="Q87" s="1036"/>
      <c r="R87" s="1497"/>
      <c r="S87" s="1036"/>
      <c r="T87" s="1036"/>
      <c r="U87" s="471"/>
      <c r="V87" s="1036"/>
      <c r="W87" s="1036"/>
      <c r="X87" s="1036"/>
      <c r="Y87" s="1036"/>
      <c r="Z87" s="1036"/>
      <c r="AA87" s="1493"/>
      <c r="AB87" s="493"/>
      <c r="AC87" s="493"/>
      <c r="AD87" s="493"/>
      <c r="AE87" s="493"/>
    </row>
    <row r="88" spans="1:31" s="1720" customFormat="1" ht="11.25" customHeight="1">
      <c r="A88" s="880"/>
      <c r="B88" s="1497"/>
      <c r="C88" s="1497"/>
      <c r="D88" s="275"/>
      <c r="K88" s="1036"/>
      <c r="L88" s="1497"/>
      <c r="M88" s="1497"/>
      <c r="N88" s="1036"/>
      <c r="O88" s="1036"/>
      <c r="P88" s="1036"/>
      <c r="Q88" s="1036"/>
      <c r="R88" s="1497"/>
      <c r="S88" s="1036"/>
      <c r="T88" s="1036"/>
      <c r="U88" s="471"/>
      <c r="V88" s="1036"/>
      <c r="W88" s="1036"/>
      <c r="X88" s="1036"/>
      <c r="Y88" s="1036"/>
      <c r="Z88" s="1036"/>
      <c r="AA88" s="1493"/>
      <c r="AB88" s="493"/>
      <c r="AC88" s="493"/>
      <c r="AD88" s="493"/>
      <c r="AE88" s="493"/>
    </row>
    <row r="89" spans="1:31" s="1720" customFormat="1" ht="11.25" customHeight="1">
      <c r="A89" s="880"/>
      <c r="B89" s="1497"/>
      <c r="C89" s="1497"/>
      <c r="D89" s="275"/>
      <c r="K89" s="1036"/>
      <c r="L89" s="1497"/>
      <c r="M89" s="1497"/>
      <c r="N89" s="1036"/>
      <c r="O89" s="1036"/>
      <c r="P89" s="1036"/>
      <c r="Q89" s="1036"/>
      <c r="R89" s="1497"/>
      <c r="S89" s="1036"/>
      <c r="T89" s="1036"/>
      <c r="U89" s="471"/>
      <c r="V89" s="1036"/>
      <c r="W89" s="1036"/>
      <c r="X89" s="1036"/>
      <c r="Y89" s="1036"/>
      <c r="Z89" s="1036"/>
      <c r="AA89" s="1493"/>
      <c r="AB89" s="493"/>
      <c r="AC89" s="493"/>
      <c r="AD89" s="493"/>
      <c r="AE89" s="493"/>
    </row>
    <row r="90" spans="1:31" s="1720" customFormat="1" ht="11.25" customHeight="1">
      <c r="A90" s="880"/>
      <c r="B90" s="1497"/>
      <c r="C90" s="1497"/>
      <c r="D90" s="275"/>
      <c r="K90" s="1036"/>
      <c r="L90" s="1497"/>
      <c r="M90" s="1497"/>
      <c r="N90" s="1036"/>
      <c r="O90" s="1036"/>
      <c r="P90" s="1036"/>
      <c r="Q90" s="1036"/>
      <c r="R90" s="1497"/>
      <c r="S90" s="1036"/>
      <c r="T90" s="1036"/>
      <c r="U90" s="471"/>
      <c r="V90" s="1036"/>
      <c r="W90" s="1036"/>
      <c r="X90" s="1036"/>
      <c r="Y90" s="1036"/>
      <c r="Z90" s="1036"/>
      <c r="AA90" s="1493"/>
      <c r="AB90" s="493"/>
      <c r="AC90" s="493"/>
      <c r="AD90" s="493"/>
      <c r="AE90" s="493"/>
    </row>
    <row r="91" spans="1:31" s="1720" customFormat="1" ht="11.25" customHeight="1">
      <c r="A91" s="880"/>
      <c r="B91" s="1497"/>
      <c r="C91" s="1497"/>
      <c r="D91" s="275"/>
      <c r="K91" s="1036"/>
      <c r="L91" s="1497"/>
      <c r="M91" s="1497"/>
      <c r="N91" s="1036"/>
      <c r="O91" s="1036"/>
      <c r="P91" s="1036"/>
      <c r="Q91" s="1036"/>
      <c r="R91" s="1497"/>
      <c r="S91" s="1036"/>
      <c r="T91" s="1036"/>
      <c r="U91" s="471"/>
      <c r="V91" s="1036"/>
      <c r="W91" s="1036"/>
      <c r="X91" s="1036"/>
      <c r="Y91" s="1036"/>
      <c r="Z91" s="1036"/>
      <c r="AA91" s="1493"/>
      <c r="AB91" s="493"/>
      <c r="AC91" s="493"/>
      <c r="AD91" s="493"/>
      <c r="AE91" s="493"/>
    </row>
    <row r="92" spans="1:31" s="1720" customFormat="1" ht="11.25" customHeight="1">
      <c r="A92" s="880"/>
      <c r="B92" s="1497"/>
      <c r="C92" s="1497"/>
      <c r="D92" s="275"/>
      <c r="K92" s="1036"/>
      <c r="L92" s="1497"/>
      <c r="M92" s="1497"/>
      <c r="N92" s="1036"/>
      <c r="O92" s="1036"/>
      <c r="P92" s="1036"/>
      <c r="Q92" s="1036"/>
      <c r="R92" s="1497"/>
      <c r="S92" s="1036"/>
      <c r="T92" s="1036"/>
      <c r="U92" s="471"/>
      <c r="V92" s="1036"/>
      <c r="W92" s="1036"/>
      <c r="X92" s="1036"/>
      <c r="Y92" s="1036"/>
      <c r="Z92" s="1036"/>
      <c r="AA92" s="1493"/>
      <c r="AB92" s="493"/>
      <c r="AC92" s="493"/>
      <c r="AD92" s="493"/>
      <c r="AE92" s="493"/>
    </row>
    <row r="93" spans="1:31" s="1720" customFormat="1" ht="11.25" customHeight="1">
      <c r="A93" s="880"/>
      <c r="B93" s="1497"/>
      <c r="C93" s="1497"/>
      <c r="D93" s="275"/>
      <c r="K93" s="1036"/>
      <c r="L93" s="1497"/>
      <c r="M93" s="1497"/>
      <c r="N93" s="1036"/>
      <c r="O93" s="1036"/>
      <c r="P93" s="1036"/>
      <c r="Q93" s="1036"/>
      <c r="R93" s="1497"/>
      <c r="S93" s="1036"/>
      <c r="T93" s="1036"/>
      <c r="U93" s="471"/>
      <c r="V93" s="1036"/>
      <c r="W93" s="1036"/>
      <c r="X93" s="1036"/>
      <c r="Y93" s="1036"/>
      <c r="Z93" s="1036"/>
      <c r="AA93" s="1493"/>
      <c r="AB93" s="493"/>
      <c r="AC93" s="493"/>
      <c r="AD93" s="493"/>
      <c r="AE93" s="493"/>
    </row>
    <row r="94" spans="1:31" s="1720" customFormat="1" ht="11.25" customHeight="1">
      <c r="A94" s="880"/>
      <c r="B94" s="1497"/>
      <c r="C94" s="1497"/>
      <c r="D94" s="275"/>
      <c r="K94" s="1036"/>
      <c r="L94" s="1497"/>
      <c r="M94" s="1497"/>
      <c r="N94" s="1036"/>
      <c r="O94" s="1036"/>
      <c r="P94" s="1036"/>
      <c r="Q94" s="1036"/>
      <c r="R94" s="1497"/>
      <c r="S94" s="1036"/>
      <c r="T94" s="1036"/>
      <c r="U94" s="471"/>
      <c r="V94" s="1036"/>
      <c r="W94" s="1036"/>
      <c r="X94" s="1036"/>
      <c r="Y94" s="1036"/>
      <c r="Z94" s="1036"/>
      <c r="AA94" s="1493"/>
      <c r="AB94" s="493"/>
      <c r="AC94" s="493"/>
      <c r="AD94" s="493"/>
      <c r="AE94" s="493"/>
    </row>
    <row r="95" spans="1:31" s="1720" customFormat="1" ht="11.25" customHeight="1">
      <c r="A95" s="880"/>
      <c r="B95" s="1497"/>
      <c r="C95" s="1497"/>
      <c r="D95" s="275"/>
      <c r="K95" s="1036"/>
      <c r="L95" s="1497"/>
      <c r="M95" s="1497"/>
      <c r="N95" s="1036"/>
      <c r="O95" s="1036"/>
      <c r="P95" s="1036"/>
      <c r="Q95" s="1036"/>
      <c r="R95" s="1497"/>
      <c r="S95" s="1036"/>
      <c r="T95" s="1036"/>
      <c r="U95" s="471"/>
      <c r="V95" s="1036"/>
      <c r="W95" s="1036"/>
      <c r="X95" s="1036"/>
      <c r="Y95" s="1036"/>
      <c r="Z95" s="1036"/>
      <c r="AA95" s="1493"/>
      <c r="AB95" s="493"/>
      <c r="AC95" s="493"/>
      <c r="AD95" s="493"/>
      <c r="AE95" s="493"/>
    </row>
    <row r="96" spans="1:31" s="1720" customFormat="1" ht="11.25" customHeight="1">
      <c r="A96" s="880"/>
      <c r="B96" s="1497"/>
      <c r="C96" s="1497"/>
      <c r="D96" s="275"/>
      <c r="K96" s="1036"/>
      <c r="L96" s="1497"/>
      <c r="M96" s="1497"/>
      <c r="N96" s="1036"/>
      <c r="O96" s="1036"/>
      <c r="P96" s="1036"/>
      <c r="Q96" s="1036"/>
      <c r="R96" s="1497"/>
      <c r="S96" s="1036"/>
      <c r="T96" s="1036"/>
      <c r="U96" s="471"/>
      <c r="V96" s="1036"/>
      <c r="W96" s="1036"/>
      <c r="X96" s="1036"/>
      <c r="Y96" s="1036"/>
      <c r="Z96" s="1036"/>
      <c r="AA96" s="1493"/>
      <c r="AB96" s="493"/>
      <c r="AC96" s="493"/>
      <c r="AD96" s="493"/>
      <c r="AE96" s="493"/>
    </row>
    <row r="97" spans="1:31" s="1720" customFormat="1" ht="11.25" customHeight="1">
      <c r="A97" s="880"/>
      <c r="B97" s="1497"/>
      <c r="C97" s="1497"/>
      <c r="D97" s="275"/>
      <c r="K97" s="1036"/>
      <c r="L97" s="1497"/>
      <c r="M97" s="1497"/>
      <c r="N97" s="1036"/>
      <c r="O97" s="1036"/>
      <c r="P97" s="1036"/>
      <c r="Q97" s="1036"/>
      <c r="R97" s="1497"/>
      <c r="S97" s="1036"/>
      <c r="T97" s="1036"/>
      <c r="U97" s="471"/>
      <c r="V97" s="1036"/>
      <c r="W97" s="1036"/>
      <c r="X97" s="1036"/>
      <c r="Y97" s="1036"/>
      <c r="Z97" s="1036"/>
      <c r="AA97" s="1493"/>
      <c r="AB97" s="493"/>
      <c r="AC97" s="493"/>
      <c r="AD97" s="493"/>
      <c r="AE97" s="493"/>
    </row>
    <row r="98" spans="1:31" s="1720" customFormat="1" ht="11.25" customHeight="1">
      <c r="A98" s="880"/>
      <c r="B98" s="1497"/>
      <c r="C98" s="1497"/>
      <c r="D98" s="275"/>
      <c r="K98" s="1036"/>
      <c r="L98" s="1497"/>
      <c r="M98" s="1497"/>
      <c r="N98" s="1036"/>
      <c r="O98" s="1036"/>
      <c r="P98" s="1036"/>
      <c r="Q98" s="1036"/>
      <c r="R98" s="1497"/>
      <c r="S98" s="1036"/>
      <c r="T98" s="1036"/>
      <c r="U98" s="471"/>
      <c r="V98" s="1036"/>
      <c r="W98" s="1036"/>
      <c r="X98" s="1036"/>
      <c r="Y98" s="1036"/>
      <c r="Z98" s="1036"/>
      <c r="AA98" s="1493"/>
      <c r="AB98" s="493"/>
      <c r="AC98" s="493"/>
      <c r="AD98" s="493"/>
      <c r="AE98" s="493"/>
    </row>
    <row r="99" spans="1:31" s="1720" customFormat="1" ht="11.25" customHeight="1">
      <c r="A99" s="880"/>
      <c r="B99" s="1497"/>
      <c r="C99" s="1497"/>
      <c r="D99" s="275"/>
      <c r="K99" s="1036"/>
      <c r="L99" s="1497"/>
      <c r="M99" s="1497"/>
      <c r="N99" s="1036"/>
      <c r="O99" s="1036"/>
      <c r="P99" s="1036"/>
      <c r="Q99" s="1036"/>
      <c r="R99" s="1497"/>
      <c r="S99" s="1036"/>
      <c r="T99" s="1036"/>
      <c r="U99" s="471"/>
      <c r="V99" s="1036"/>
      <c r="W99" s="1036"/>
      <c r="X99" s="1036"/>
      <c r="Y99" s="1036"/>
      <c r="Z99" s="1036"/>
      <c r="AA99" s="1493"/>
      <c r="AB99" s="493"/>
      <c r="AC99" s="493"/>
      <c r="AD99" s="493"/>
      <c r="AE99" s="493"/>
    </row>
    <row r="100" spans="1:31" s="1720" customFormat="1" ht="11.25" customHeight="1">
      <c r="A100" s="880"/>
      <c r="B100" s="1497"/>
      <c r="C100" s="1497"/>
      <c r="D100" s="275"/>
      <c r="K100" s="1036"/>
      <c r="L100" s="1497"/>
      <c r="M100" s="1497"/>
      <c r="N100" s="1036"/>
      <c r="O100" s="1036"/>
      <c r="P100" s="1036"/>
      <c r="Q100" s="1036"/>
      <c r="R100" s="1497"/>
      <c r="S100" s="1036"/>
      <c r="T100" s="1036"/>
      <c r="U100" s="471"/>
      <c r="V100" s="1036"/>
      <c r="W100" s="1036"/>
      <c r="X100" s="1036"/>
      <c r="Y100" s="1036"/>
      <c r="Z100" s="1036"/>
      <c r="AA100" s="1493"/>
      <c r="AB100" s="493"/>
      <c r="AC100" s="493"/>
      <c r="AD100" s="493"/>
      <c r="AE100" s="493"/>
    </row>
    <row r="101" spans="1:31" s="1720" customFormat="1" ht="11.25" customHeight="1">
      <c r="A101" s="880"/>
      <c r="B101" s="1497"/>
      <c r="C101" s="1497"/>
      <c r="D101" s="275"/>
      <c r="K101" s="1036"/>
      <c r="L101" s="1497"/>
      <c r="M101" s="1497"/>
      <c r="N101" s="1036"/>
      <c r="O101" s="1036"/>
      <c r="P101" s="1036"/>
      <c r="Q101" s="1036"/>
      <c r="R101" s="1497"/>
      <c r="S101" s="1036"/>
      <c r="T101" s="1036"/>
      <c r="U101" s="471"/>
      <c r="V101" s="1036"/>
      <c r="W101" s="1036"/>
      <c r="X101" s="1036"/>
      <c r="Y101" s="1036"/>
      <c r="Z101" s="1036"/>
      <c r="AA101" s="1493"/>
      <c r="AB101" s="493"/>
      <c r="AC101" s="493"/>
      <c r="AD101" s="493"/>
      <c r="AE101" s="493"/>
    </row>
    <row r="102" spans="1:31" s="1720" customFormat="1" ht="11.25" customHeight="1">
      <c r="A102" s="880"/>
      <c r="B102" s="1497"/>
      <c r="C102" s="1497"/>
      <c r="D102" s="275"/>
      <c r="K102" s="1036"/>
      <c r="L102" s="1497"/>
      <c r="M102" s="1497"/>
      <c r="N102" s="1036"/>
      <c r="O102" s="1036"/>
      <c r="P102" s="1036"/>
      <c r="Q102" s="1036"/>
      <c r="R102" s="1497"/>
      <c r="S102" s="1036"/>
      <c r="T102" s="1036"/>
      <c r="U102" s="471"/>
      <c r="V102" s="1036"/>
      <c r="W102" s="1036"/>
      <c r="X102" s="1036"/>
      <c r="Y102" s="1036"/>
      <c r="Z102" s="1036"/>
      <c r="AA102" s="1493"/>
      <c r="AB102" s="493"/>
      <c r="AC102" s="493"/>
      <c r="AD102" s="493"/>
      <c r="AE102" s="493"/>
    </row>
    <row r="103" spans="1:31" s="1720" customFormat="1" ht="11.25" customHeight="1">
      <c r="A103" s="880"/>
      <c r="B103" s="1497"/>
      <c r="C103" s="1497"/>
      <c r="D103" s="275"/>
      <c r="K103" s="1036"/>
      <c r="L103" s="1497"/>
      <c r="M103" s="1497"/>
      <c r="N103" s="1036"/>
      <c r="O103" s="1036"/>
      <c r="P103" s="1036"/>
      <c r="Q103" s="1036"/>
      <c r="R103" s="1497"/>
      <c r="S103" s="1036"/>
      <c r="T103" s="1036"/>
      <c r="U103" s="471"/>
      <c r="V103" s="1036"/>
      <c r="W103" s="1036"/>
      <c r="X103" s="1036"/>
      <c r="Y103" s="1036"/>
      <c r="Z103" s="1036"/>
      <c r="AA103" s="1493"/>
      <c r="AB103" s="493"/>
      <c r="AC103" s="493"/>
      <c r="AD103" s="493"/>
      <c r="AE103" s="493"/>
    </row>
    <row r="104" spans="1:31" s="1720" customFormat="1" ht="11.25" customHeight="1">
      <c r="A104" s="880"/>
      <c r="B104" s="1497"/>
      <c r="C104" s="1497"/>
      <c r="D104" s="275"/>
      <c r="K104" s="1036"/>
      <c r="L104" s="1497"/>
      <c r="M104" s="1497"/>
      <c r="N104" s="1036"/>
      <c r="O104" s="1036"/>
      <c r="P104" s="1036"/>
      <c r="Q104" s="1036"/>
      <c r="R104" s="1497"/>
      <c r="S104" s="1036"/>
      <c r="T104" s="1036"/>
      <c r="U104" s="471"/>
      <c r="V104" s="1036"/>
      <c r="W104" s="1036"/>
      <c r="X104" s="1036"/>
      <c r="Y104" s="1036"/>
      <c r="Z104" s="1036"/>
      <c r="AA104" s="1493"/>
      <c r="AB104" s="493"/>
      <c r="AC104" s="493"/>
      <c r="AD104" s="493"/>
      <c r="AE104" s="493"/>
    </row>
    <row r="105" spans="1:31" s="1720" customFormat="1" ht="11.25" customHeight="1">
      <c r="A105" s="880"/>
      <c r="B105" s="1497"/>
      <c r="C105" s="1497"/>
      <c r="D105" s="275"/>
      <c r="K105" s="1036"/>
      <c r="L105" s="1497"/>
      <c r="M105" s="1497"/>
      <c r="N105" s="1036"/>
      <c r="O105" s="1036"/>
      <c r="P105" s="1036"/>
      <c r="Q105" s="1036"/>
      <c r="R105" s="1497"/>
      <c r="S105" s="1036"/>
      <c r="T105" s="1036"/>
      <c r="U105" s="471"/>
      <c r="V105" s="1036"/>
      <c r="W105" s="1036"/>
      <c r="X105" s="1036"/>
      <c r="Y105" s="1036"/>
      <c r="Z105" s="1036"/>
      <c r="AA105" s="1493"/>
      <c r="AB105" s="493"/>
      <c r="AC105" s="493"/>
      <c r="AD105" s="493"/>
      <c r="AE105" s="493"/>
    </row>
    <row r="106" spans="1:31" s="1720" customFormat="1" ht="11.25" customHeight="1">
      <c r="A106" s="880"/>
      <c r="B106" s="1497"/>
      <c r="C106" s="1497"/>
      <c r="D106" s="275"/>
      <c r="K106" s="1036"/>
      <c r="L106" s="1497"/>
      <c r="M106" s="1497"/>
      <c r="N106" s="1036"/>
      <c r="O106" s="1036"/>
      <c r="P106" s="1036"/>
      <c r="Q106" s="1036"/>
      <c r="R106" s="1497"/>
      <c r="S106" s="1036"/>
      <c r="T106" s="1036"/>
      <c r="U106" s="471"/>
      <c r="V106" s="1036"/>
      <c r="W106" s="1036"/>
      <c r="X106" s="1036"/>
      <c r="Y106" s="1036"/>
      <c r="Z106" s="1036"/>
      <c r="AA106" s="1493"/>
      <c r="AB106" s="493"/>
      <c r="AC106" s="493"/>
      <c r="AD106" s="493"/>
      <c r="AE106" s="493"/>
    </row>
    <row r="107" spans="1:31" s="1720" customFormat="1" ht="11.25" customHeight="1">
      <c r="A107" s="880"/>
      <c r="B107" s="1497"/>
      <c r="C107" s="1497"/>
      <c r="D107" s="275"/>
      <c r="K107" s="1036"/>
      <c r="L107" s="1497"/>
      <c r="M107" s="1497"/>
      <c r="N107" s="1036"/>
      <c r="O107" s="1036"/>
      <c r="P107" s="1036"/>
      <c r="Q107" s="1036"/>
      <c r="R107" s="1497"/>
      <c r="S107" s="1036"/>
      <c r="T107" s="1036"/>
      <c r="U107" s="471"/>
      <c r="V107" s="1036"/>
      <c r="W107" s="1036"/>
      <c r="X107" s="1036"/>
      <c r="Y107" s="1036"/>
      <c r="Z107" s="1036"/>
      <c r="AA107" s="1493"/>
      <c r="AB107" s="493"/>
      <c r="AC107" s="493"/>
      <c r="AD107" s="493"/>
      <c r="AE107" s="493"/>
    </row>
    <row r="108" spans="1:31" s="1720" customFormat="1" ht="11.25" customHeight="1">
      <c r="A108" s="880"/>
      <c r="B108" s="1497"/>
      <c r="C108" s="1497"/>
      <c r="D108" s="275"/>
      <c r="K108" s="1036"/>
      <c r="L108" s="1497"/>
      <c r="M108" s="1497"/>
      <c r="N108" s="1036"/>
      <c r="O108" s="1036"/>
      <c r="P108" s="1036"/>
      <c r="Q108" s="1036"/>
      <c r="R108" s="1497"/>
      <c r="S108" s="1036"/>
      <c r="T108" s="1036"/>
      <c r="U108" s="471"/>
      <c r="V108" s="1036"/>
      <c r="W108" s="1036"/>
      <c r="X108" s="1036"/>
      <c r="Y108" s="1036"/>
      <c r="Z108" s="1036"/>
      <c r="AA108" s="1493"/>
      <c r="AB108" s="493"/>
      <c r="AC108" s="493"/>
      <c r="AD108" s="493"/>
      <c r="AE108" s="493"/>
    </row>
    <row r="109" spans="1:31" s="1720" customFormat="1" ht="11.25" customHeight="1">
      <c r="A109" s="880"/>
      <c r="B109" s="1497"/>
      <c r="C109" s="1497"/>
      <c r="D109" s="275"/>
      <c r="K109" s="1036"/>
      <c r="L109" s="1497"/>
      <c r="M109" s="1497"/>
      <c r="N109" s="1036"/>
      <c r="O109" s="1036"/>
      <c r="P109" s="1036"/>
      <c r="Q109" s="1036"/>
      <c r="R109" s="1497"/>
      <c r="S109" s="1036"/>
      <c r="T109" s="1036"/>
      <c r="U109" s="471"/>
      <c r="V109" s="1036"/>
      <c r="W109" s="1036"/>
      <c r="X109" s="1036"/>
      <c r="Y109" s="1036"/>
      <c r="Z109" s="1036"/>
      <c r="AA109" s="1493"/>
      <c r="AB109" s="493"/>
      <c r="AC109" s="493"/>
      <c r="AD109" s="493"/>
      <c r="AE109" s="493"/>
    </row>
    <row r="110" spans="1:31" s="1720" customFormat="1" ht="11.25" customHeight="1">
      <c r="A110" s="880"/>
      <c r="B110" s="1497"/>
      <c r="C110" s="1497"/>
      <c r="D110" s="275"/>
      <c r="K110" s="1036"/>
      <c r="L110" s="1497"/>
      <c r="M110" s="1497"/>
      <c r="N110" s="1036"/>
      <c r="O110" s="1036"/>
      <c r="P110" s="1036"/>
      <c r="Q110" s="1036"/>
      <c r="R110" s="1497"/>
      <c r="S110" s="1036"/>
      <c r="T110" s="1036"/>
      <c r="U110" s="471"/>
      <c r="V110" s="1036"/>
      <c r="W110" s="1036"/>
      <c r="X110" s="1036"/>
      <c r="Y110" s="1036"/>
      <c r="Z110" s="1036"/>
      <c r="AA110" s="1493"/>
      <c r="AB110" s="493"/>
      <c r="AC110" s="493"/>
      <c r="AD110" s="493"/>
      <c r="AE110" s="493"/>
    </row>
    <row r="111" spans="1:31" s="1720" customFormat="1" ht="11.25" customHeight="1">
      <c r="A111" s="880"/>
      <c r="B111" s="1497"/>
      <c r="C111" s="1497"/>
      <c r="D111" s="275"/>
      <c r="K111" s="1036"/>
      <c r="L111" s="1497"/>
      <c r="M111" s="1497"/>
      <c r="N111" s="1036"/>
      <c r="O111" s="1036"/>
      <c r="P111" s="1036"/>
      <c r="Q111" s="1036"/>
      <c r="R111" s="1497"/>
      <c r="S111" s="1036"/>
      <c r="T111" s="1036"/>
      <c r="U111" s="471"/>
      <c r="V111" s="1036"/>
      <c r="W111" s="1036"/>
      <c r="X111" s="1036"/>
      <c r="Y111" s="1036"/>
      <c r="Z111" s="1036"/>
      <c r="AA111" s="1493"/>
      <c r="AB111" s="493"/>
      <c r="AC111" s="493"/>
      <c r="AD111" s="493"/>
      <c r="AE111" s="493"/>
    </row>
    <row r="112" spans="1:31" s="1720" customFormat="1" ht="11.25" customHeight="1">
      <c r="A112" s="880"/>
      <c r="B112" s="1497"/>
      <c r="C112" s="1497"/>
      <c r="D112" s="275"/>
      <c r="K112" s="1036"/>
      <c r="L112" s="1497"/>
      <c r="M112" s="1497"/>
      <c r="N112" s="1036"/>
      <c r="O112" s="1036"/>
      <c r="P112" s="1036"/>
      <c r="Q112" s="1036"/>
      <c r="R112" s="1497"/>
      <c r="S112" s="1036"/>
      <c r="T112" s="1036"/>
      <c r="U112" s="471"/>
      <c r="V112" s="1036"/>
      <c r="W112" s="1036"/>
      <c r="X112" s="1036"/>
      <c r="Y112" s="1036"/>
      <c r="Z112" s="1036"/>
      <c r="AA112" s="1493"/>
      <c r="AB112" s="493"/>
      <c r="AC112" s="493"/>
      <c r="AD112" s="493"/>
      <c r="AE112" s="493"/>
    </row>
    <row r="113" spans="1:31" s="1720" customFormat="1" ht="11.25" customHeight="1">
      <c r="A113" s="880"/>
      <c r="B113" s="1497"/>
      <c r="C113" s="1497"/>
      <c r="D113" s="275"/>
      <c r="K113" s="1036"/>
      <c r="L113" s="1497"/>
      <c r="M113" s="1497"/>
      <c r="N113" s="1036"/>
      <c r="O113" s="1036"/>
      <c r="P113" s="1036"/>
      <c r="Q113" s="1036"/>
      <c r="R113" s="1497"/>
      <c r="S113" s="1036"/>
      <c r="T113" s="1036"/>
      <c r="U113" s="471"/>
      <c r="V113" s="1036"/>
      <c r="W113" s="1036"/>
      <c r="X113" s="1036"/>
      <c r="Y113" s="1036"/>
      <c r="Z113" s="1036"/>
      <c r="AA113" s="1493"/>
      <c r="AB113" s="493"/>
      <c r="AC113" s="493"/>
      <c r="AD113" s="493"/>
      <c r="AE113" s="493"/>
    </row>
    <row r="114" spans="1:31" s="1720" customFormat="1" ht="11.25" customHeight="1">
      <c r="A114" s="880"/>
      <c r="B114" s="1497"/>
      <c r="C114" s="1497"/>
      <c r="D114" s="275"/>
      <c r="K114" s="1036"/>
      <c r="L114" s="1497"/>
      <c r="M114" s="1497"/>
      <c r="N114" s="1036"/>
      <c r="O114" s="1036"/>
      <c r="P114" s="1036"/>
      <c r="Q114" s="1036"/>
      <c r="R114" s="1497"/>
      <c r="S114" s="1036"/>
      <c r="T114" s="1036"/>
      <c r="U114" s="471"/>
      <c r="V114" s="1036"/>
      <c r="W114" s="1036"/>
      <c r="X114" s="1036"/>
      <c r="Y114" s="1036"/>
      <c r="Z114" s="1036"/>
      <c r="AA114" s="1493"/>
      <c r="AB114" s="493"/>
      <c r="AC114" s="493"/>
      <c r="AD114" s="493"/>
      <c r="AE114" s="493"/>
    </row>
    <row r="115" spans="1:31" s="1720" customFormat="1" ht="11.25" customHeight="1">
      <c r="A115" s="880"/>
      <c r="B115" s="1497"/>
      <c r="C115" s="1497"/>
      <c r="D115" s="275"/>
      <c r="K115" s="1036"/>
      <c r="L115" s="1497"/>
      <c r="M115" s="1497"/>
      <c r="N115" s="1036"/>
      <c r="O115" s="1036"/>
      <c r="P115" s="1036"/>
      <c r="Q115" s="1036"/>
      <c r="R115" s="1497"/>
      <c r="S115" s="1036"/>
      <c r="T115" s="1036"/>
      <c r="U115" s="471"/>
      <c r="V115" s="1036"/>
      <c r="W115" s="1036"/>
      <c r="X115" s="1036"/>
      <c r="Y115" s="1036"/>
      <c r="Z115" s="1036"/>
      <c r="AA115" s="1493"/>
      <c r="AB115" s="493"/>
      <c r="AC115" s="493"/>
      <c r="AD115" s="493"/>
      <c r="AE115" s="493"/>
    </row>
    <row r="116" spans="1:31" s="1720" customFormat="1" ht="11.25" customHeight="1">
      <c r="A116" s="880"/>
      <c r="B116" s="1497"/>
      <c r="C116" s="1497"/>
      <c r="D116" s="275"/>
      <c r="K116" s="1036"/>
      <c r="L116" s="1497"/>
      <c r="M116" s="1497"/>
      <c r="N116" s="1036"/>
      <c r="O116" s="1036"/>
      <c r="P116" s="1036"/>
      <c r="Q116" s="1036"/>
      <c r="R116" s="1497"/>
      <c r="S116" s="1036"/>
      <c r="T116" s="1036"/>
      <c r="U116" s="471"/>
      <c r="V116" s="1036"/>
      <c r="W116" s="1036"/>
      <c r="X116" s="1036"/>
      <c r="Y116" s="1036"/>
      <c r="Z116" s="1036"/>
      <c r="AA116" s="1493"/>
      <c r="AB116" s="493"/>
      <c r="AC116" s="493"/>
      <c r="AD116" s="493"/>
      <c r="AE116" s="493"/>
    </row>
    <row r="117" spans="1:31" s="1720" customFormat="1" ht="11.25" customHeight="1">
      <c r="A117" s="880"/>
      <c r="B117" s="1497"/>
      <c r="C117" s="1497"/>
      <c r="D117" s="275"/>
      <c r="K117" s="1036"/>
      <c r="L117" s="1497"/>
      <c r="M117" s="1497"/>
      <c r="N117" s="1036"/>
      <c r="O117" s="1036"/>
      <c r="P117" s="1036"/>
      <c r="Q117" s="1036"/>
      <c r="R117" s="1497"/>
      <c r="S117" s="1036"/>
      <c r="T117" s="1036"/>
      <c r="U117" s="471"/>
      <c r="V117" s="1036"/>
      <c r="W117" s="1036"/>
      <c r="X117" s="1036"/>
      <c r="Y117" s="1036"/>
      <c r="Z117" s="1036"/>
      <c r="AA117" s="1493"/>
      <c r="AB117" s="493"/>
      <c r="AC117" s="493"/>
      <c r="AD117" s="493"/>
      <c r="AE117" s="493"/>
    </row>
    <row r="118" spans="1:31" s="1720" customFormat="1" ht="11.25" customHeight="1">
      <c r="A118" s="880"/>
      <c r="B118" s="1497"/>
      <c r="C118" s="1497"/>
      <c r="D118" s="275"/>
      <c r="K118" s="1036"/>
      <c r="L118" s="1497"/>
      <c r="M118" s="1497"/>
      <c r="N118" s="1036"/>
      <c r="O118" s="1036"/>
      <c r="P118" s="1036"/>
      <c r="Q118" s="1036"/>
      <c r="R118" s="1497"/>
      <c r="S118" s="1036"/>
      <c r="T118" s="1036"/>
      <c r="U118" s="471"/>
      <c r="V118" s="1036"/>
      <c r="W118" s="1036"/>
      <c r="X118" s="1036"/>
      <c r="Y118" s="1036"/>
      <c r="Z118" s="1036"/>
      <c r="AA118" s="1493"/>
      <c r="AB118" s="493"/>
      <c r="AC118" s="493"/>
      <c r="AD118" s="493"/>
      <c r="AE118" s="493"/>
    </row>
    <row r="119" spans="1:31" s="1720" customFormat="1" ht="11.25" customHeight="1">
      <c r="A119" s="880"/>
      <c r="B119" s="1497"/>
      <c r="C119" s="1497"/>
      <c r="D119" s="275"/>
      <c r="K119" s="1036"/>
      <c r="L119" s="1497"/>
      <c r="M119" s="1497"/>
      <c r="N119" s="1036"/>
      <c r="O119" s="1036"/>
      <c r="P119" s="1036"/>
      <c r="Q119" s="1036"/>
      <c r="R119" s="1497"/>
      <c r="S119" s="1036"/>
      <c r="T119" s="1036"/>
      <c r="U119" s="471"/>
      <c r="V119" s="1036"/>
      <c r="W119" s="1036"/>
      <c r="X119" s="1036"/>
      <c r="Y119" s="1036"/>
      <c r="Z119" s="1036"/>
      <c r="AA119" s="1493"/>
      <c r="AB119" s="493"/>
      <c r="AC119" s="493"/>
      <c r="AD119" s="493"/>
      <c r="AE119" s="493"/>
    </row>
    <row r="120" spans="1:31" s="1720" customFormat="1" ht="11.25" customHeight="1">
      <c r="A120" s="880"/>
      <c r="B120" s="1497"/>
      <c r="C120" s="1497"/>
      <c r="D120" s="275"/>
      <c r="K120" s="1036"/>
      <c r="L120" s="1497"/>
      <c r="M120" s="1497"/>
      <c r="N120" s="1036"/>
      <c r="O120" s="1036"/>
      <c r="P120" s="1036"/>
      <c r="Q120" s="1036"/>
      <c r="R120" s="1497"/>
      <c r="S120" s="1036"/>
      <c r="T120" s="1036"/>
      <c r="U120" s="471"/>
      <c r="V120" s="1036"/>
      <c r="W120" s="1036"/>
      <c r="X120" s="1036"/>
      <c r="Y120" s="1036"/>
      <c r="Z120" s="1036"/>
      <c r="AA120" s="1493"/>
      <c r="AB120" s="493"/>
      <c r="AC120" s="493"/>
      <c r="AD120" s="493"/>
      <c r="AE120" s="493"/>
    </row>
    <row r="121" spans="1:31" s="1720" customFormat="1" ht="11.25" customHeight="1">
      <c r="A121" s="880"/>
      <c r="B121" s="1497"/>
      <c r="C121" s="1497"/>
      <c r="D121" s="275"/>
      <c r="K121" s="1036"/>
      <c r="L121" s="1497"/>
      <c r="M121" s="1497"/>
      <c r="N121" s="1036"/>
      <c r="O121" s="1036"/>
      <c r="P121" s="1036"/>
      <c r="Q121" s="1036"/>
      <c r="R121" s="1497"/>
      <c r="S121" s="1036"/>
      <c r="T121" s="1036"/>
      <c r="U121" s="471"/>
      <c r="V121" s="1036"/>
      <c r="W121" s="1036"/>
      <c r="X121" s="1036"/>
      <c r="Y121" s="1036"/>
      <c r="Z121" s="1036"/>
      <c r="AA121" s="1493"/>
      <c r="AB121" s="493"/>
      <c r="AC121" s="493"/>
      <c r="AD121" s="493"/>
      <c r="AE121" s="493"/>
    </row>
    <row r="122" spans="1:31" s="1720" customFormat="1" ht="11.25" customHeight="1">
      <c r="A122" s="880"/>
      <c r="B122" s="1497"/>
      <c r="C122" s="1497"/>
      <c r="D122" s="275"/>
      <c r="K122" s="1036"/>
      <c r="L122" s="1497"/>
      <c r="M122" s="1497"/>
      <c r="N122" s="1036"/>
      <c r="O122" s="1036"/>
      <c r="P122" s="1036"/>
      <c r="Q122" s="1036"/>
      <c r="R122" s="1497"/>
      <c r="S122" s="1036"/>
      <c r="T122" s="1036"/>
      <c r="U122" s="471"/>
      <c r="V122" s="1036"/>
      <c r="W122" s="1036"/>
      <c r="X122" s="1036"/>
      <c r="Y122" s="1036"/>
      <c r="Z122" s="1036"/>
      <c r="AA122" s="1493"/>
      <c r="AB122" s="493"/>
      <c r="AC122" s="493"/>
      <c r="AD122" s="493"/>
      <c r="AE122" s="493"/>
    </row>
    <row r="123" spans="1:31" s="1720" customFormat="1" ht="11.25" customHeight="1">
      <c r="A123" s="880"/>
      <c r="B123" s="1497"/>
      <c r="C123" s="1497"/>
      <c r="D123" s="275"/>
      <c r="K123" s="1036"/>
      <c r="L123" s="1497"/>
      <c r="M123" s="1497"/>
      <c r="N123" s="1036"/>
      <c r="O123" s="1036"/>
      <c r="P123" s="1036"/>
      <c r="Q123" s="1036"/>
      <c r="R123" s="1497"/>
      <c r="S123" s="1036"/>
      <c r="T123" s="1036"/>
      <c r="U123" s="471"/>
      <c r="V123" s="1036"/>
      <c r="W123" s="1036"/>
      <c r="X123" s="1036"/>
      <c r="Y123" s="1036"/>
      <c r="Z123" s="1036"/>
      <c r="AA123" s="1493"/>
      <c r="AB123" s="493"/>
      <c r="AC123" s="493"/>
      <c r="AD123" s="493"/>
      <c r="AE123" s="493"/>
    </row>
    <row r="124" spans="1:31" s="1720" customFormat="1" ht="11.25" customHeight="1">
      <c r="A124" s="880"/>
      <c r="B124" s="1497"/>
      <c r="C124" s="1497"/>
      <c r="D124" s="275"/>
      <c r="K124" s="1036"/>
      <c r="L124" s="1497"/>
      <c r="M124" s="1497"/>
      <c r="N124" s="1036"/>
      <c r="O124" s="1036"/>
      <c r="P124" s="1036"/>
      <c r="Q124" s="1036"/>
      <c r="R124" s="1497"/>
      <c r="S124" s="1036"/>
      <c r="T124" s="1036"/>
      <c r="U124" s="471"/>
      <c r="V124" s="1036"/>
      <c r="W124" s="1036"/>
      <c r="X124" s="1036"/>
      <c r="Y124" s="1036"/>
      <c r="Z124" s="1036"/>
      <c r="AA124" s="1493"/>
      <c r="AB124" s="493"/>
      <c r="AC124" s="493"/>
      <c r="AD124" s="493"/>
      <c r="AE124" s="493"/>
    </row>
    <row r="125" spans="1:31" s="1720" customFormat="1" ht="11.25" customHeight="1">
      <c r="A125" s="880"/>
      <c r="B125" s="1497"/>
      <c r="C125" s="1497"/>
      <c r="D125" s="275"/>
      <c r="K125" s="1036"/>
      <c r="L125" s="1497"/>
      <c r="M125" s="1497"/>
      <c r="N125" s="1036"/>
      <c r="O125" s="1036"/>
      <c r="P125" s="1036"/>
      <c r="Q125" s="1036"/>
      <c r="R125" s="1497"/>
      <c r="S125" s="1036"/>
      <c r="T125" s="1036"/>
      <c r="U125" s="471"/>
      <c r="V125" s="1036"/>
      <c r="W125" s="1036"/>
      <c r="X125" s="1036"/>
      <c r="Y125" s="1036"/>
      <c r="Z125" s="1036"/>
      <c r="AA125" s="1493"/>
      <c r="AB125" s="493"/>
      <c r="AC125" s="493"/>
      <c r="AD125" s="493"/>
      <c r="AE125" s="493"/>
    </row>
    <row r="126" spans="1:31" s="1720" customFormat="1" ht="11.25" customHeight="1">
      <c r="A126" s="880"/>
      <c r="B126" s="1497"/>
      <c r="C126" s="1497"/>
      <c r="D126" s="275"/>
      <c r="K126" s="1036"/>
      <c r="L126" s="1497"/>
      <c r="M126" s="1497"/>
      <c r="N126" s="1036"/>
      <c r="O126" s="1036"/>
      <c r="P126" s="1036"/>
      <c r="Q126" s="1036"/>
      <c r="R126" s="1497"/>
      <c r="S126" s="1036"/>
      <c r="T126" s="1036"/>
      <c r="U126" s="471"/>
      <c r="V126" s="1036"/>
      <c r="W126" s="1036"/>
      <c r="X126" s="1036"/>
      <c r="Y126" s="1036"/>
      <c r="Z126" s="1036"/>
      <c r="AA126" s="1493"/>
      <c r="AB126" s="493"/>
      <c r="AC126" s="493"/>
      <c r="AD126" s="493"/>
      <c r="AE126" s="493"/>
    </row>
    <row r="127" spans="1:31" s="1720" customFormat="1" ht="11.25" customHeight="1">
      <c r="A127" s="880"/>
      <c r="B127" s="1497"/>
      <c r="C127" s="1497"/>
      <c r="D127" s="275"/>
      <c r="K127" s="1036"/>
      <c r="L127" s="1497"/>
      <c r="M127" s="1497"/>
      <c r="N127" s="1036"/>
      <c r="O127" s="1036"/>
      <c r="P127" s="1036"/>
      <c r="Q127" s="1036"/>
      <c r="R127" s="1497"/>
      <c r="S127" s="1036"/>
      <c r="T127" s="1036"/>
      <c r="U127" s="471"/>
      <c r="V127" s="1036"/>
      <c r="W127" s="1036"/>
      <c r="X127" s="1036"/>
      <c r="Y127" s="1036"/>
      <c r="Z127" s="1036"/>
      <c r="AA127" s="1493"/>
      <c r="AB127" s="493"/>
      <c r="AC127" s="493"/>
      <c r="AD127" s="493"/>
      <c r="AE127" s="493"/>
    </row>
    <row r="128" spans="1:31" s="1720" customFormat="1" ht="11.25" customHeight="1">
      <c r="A128" s="880"/>
      <c r="B128" s="1497"/>
      <c r="C128" s="1497"/>
      <c r="D128" s="275"/>
      <c r="K128" s="1036"/>
      <c r="L128" s="1497"/>
      <c r="M128" s="1497"/>
      <c r="N128" s="1036"/>
      <c r="O128" s="1036"/>
      <c r="P128" s="1036"/>
      <c r="Q128" s="1036"/>
      <c r="R128" s="1497"/>
      <c r="S128" s="1036"/>
      <c r="T128" s="1036"/>
      <c r="U128" s="471"/>
      <c r="V128" s="1036"/>
      <c r="W128" s="1036"/>
      <c r="X128" s="1036"/>
      <c r="Y128" s="1036"/>
      <c r="Z128" s="1036"/>
      <c r="AA128" s="1493"/>
      <c r="AB128" s="493"/>
      <c r="AC128" s="493"/>
      <c r="AD128" s="493"/>
      <c r="AE128" s="493"/>
    </row>
    <row r="129" spans="1:31" s="1720" customFormat="1" ht="11.25" customHeight="1">
      <c r="A129" s="880"/>
      <c r="B129" s="1497"/>
      <c r="C129" s="1497"/>
      <c r="D129" s="275"/>
      <c r="K129" s="1036"/>
      <c r="L129" s="1497"/>
      <c r="M129" s="1497"/>
      <c r="N129" s="1036"/>
      <c r="O129" s="1036"/>
      <c r="P129" s="1036"/>
      <c r="Q129" s="1036"/>
      <c r="R129" s="1497"/>
      <c r="S129" s="1036"/>
      <c r="T129" s="1036"/>
      <c r="U129" s="471"/>
      <c r="V129" s="1036"/>
      <c r="W129" s="1036"/>
      <c r="X129" s="1036"/>
      <c r="Y129" s="1036"/>
      <c r="Z129" s="1036"/>
      <c r="AA129" s="1493"/>
      <c r="AB129" s="493"/>
      <c r="AC129" s="493"/>
      <c r="AD129" s="493"/>
      <c r="AE129" s="493"/>
    </row>
    <row r="130" spans="1:31" s="1720" customFormat="1" ht="11.25" customHeight="1">
      <c r="A130" s="880"/>
      <c r="B130" s="1497"/>
      <c r="C130" s="1497"/>
      <c r="D130" s="275"/>
      <c r="K130" s="1036"/>
      <c r="L130" s="1497"/>
      <c r="M130" s="1497"/>
      <c r="N130" s="1036"/>
      <c r="O130" s="1036"/>
      <c r="P130" s="1036"/>
      <c r="Q130" s="1036"/>
      <c r="R130" s="1497"/>
      <c r="S130" s="1036"/>
      <c r="T130" s="1036"/>
      <c r="U130" s="471"/>
      <c r="V130" s="1036"/>
      <c r="W130" s="1036"/>
      <c r="X130" s="1036"/>
      <c r="Y130" s="1036"/>
      <c r="Z130" s="1036"/>
      <c r="AA130" s="1493"/>
      <c r="AB130" s="493"/>
      <c r="AC130" s="493"/>
      <c r="AD130" s="493"/>
      <c r="AE130" s="493"/>
    </row>
    <row r="131" spans="1:31" s="1720" customFormat="1" ht="11.25" customHeight="1">
      <c r="A131" s="880"/>
      <c r="B131" s="1497"/>
      <c r="C131" s="1497"/>
      <c r="D131" s="275"/>
      <c r="K131" s="1036"/>
      <c r="L131" s="1497"/>
      <c r="M131" s="1497"/>
      <c r="N131" s="1036"/>
      <c r="O131" s="1036"/>
      <c r="P131" s="1036"/>
      <c r="Q131" s="1036"/>
      <c r="R131" s="1497"/>
      <c r="S131" s="1036"/>
      <c r="T131" s="1036"/>
      <c r="U131" s="471"/>
      <c r="V131" s="1036"/>
      <c r="W131" s="1036"/>
      <c r="X131" s="1036"/>
      <c r="Y131" s="1036"/>
      <c r="Z131" s="1036"/>
      <c r="AA131" s="1493"/>
      <c r="AB131" s="493"/>
      <c r="AC131" s="493"/>
      <c r="AD131" s="493"/>
      <c r="AE131" s="493"/>
    </row>
    <row r="132" spans="1:31" s="1720" customFormat="1" ht="11.25" customHeight="1">
      <c r="A132" s="880"/>
      <c r="B132" s="1497"/>
      <c r="C132" s="1497"/>
      <c r="D132" s="275"/>
      <c r="K132" s="1036"/>
      <c r="L132" s="1497"/>
      <c r="M132" s="1497"/>
      <c r="N132" s="1036"/>
      <c r="O132" s="1036"/>
      <c r="P132" s="1036"/>
      <c r="Q132" s="1036"/>
      <c r="R132" s="1497"/>
      <c r="S132" s="1036"/>
      <c r="T132" s="1036"/>
      <c r="U132" s="471"/>
      <c r="V132" s="1036"/>
      <c r="W132" s="1036"/>
      <c r="X132" s="1036"/>
      <c r="Y132" s="1036"/>
      <c r="Z132" s="1036"/>
      <c r="AA132" s="1493"/>
      <c r="AB132" s="493"/>
      <c r="AC132" s="493"/>
      <c r="AD132" s="493"/>
      <c r="AE132" s="493"/>
    </row>
    <row r="133" spans="1:31" s="1720" customFormat="1" ht="11.25" customHeight="1">
      <c r="A133" s="880"/>
      <c r="B133" s="1497"/>
      <c r="C133" s="1497"/>
      <c r="D133" s="275"/>
      <c r="K133" s="1036"/>
      <c r="L133" s="1497"/>
      <c r="M133" s="1497"/>
      <c r="N133" s="1036"/>
      <c r="O133" s="1036"/>
      <c r="P133" s="1036"/>
      <c r="Q133" s="1036"/>
      <c r="R133" s="1497"/>
      <c r="S133" s="1036"/>
      <c r="T133" s="1036"/>
      <c r="U133" s="471"/>
      <c r="V133" s="1036"/>
      <c r="W133" s="1036"/>
      <c r="X133" s="1036"/>
      <c r="Y133" s="1036"/>
      <c r="Z133" s="1036"/>
      <c r="AA133" s="1493"/>
      <c r="AB133" s="493"/>
      <c r="AC133" s="493"/>
      <c r="AD133" s="493"/>
      <c r="AE133" s="493"/>
    </row>
    <row r="134" spans="1:31" s="1720" customFormat="1" ht="11.25" customHeight="1">
      <c r="A134" s="880"/>
      <c r="B134" s="1497"/>
      <c r="C134" s="1497"/>
      <c r="D134" s="275"/>
      <c r="K134" s="1036"/>
      <c r="L134" s="1497"/>
      <c r="M134" s="1497"/>
      <c r="N134" s="1036"/>
      <c r="O134" s="1036"/>
      <c r="P134" s="1036"/>
      <c r="Q134" s="1036"/>
      <c r="R134" s="1497"/>
      <c r="S134" s="1036"/>
      <c r="T134" s="1036"/>
      <c r="U134" s="471"/>
      <c r="V134" s="1036"/>
      <c r="W134" s="1036"/>
      <c r="X134" s="1036"/>
      <c r="Y134" s="1036"/>
      <c r="Z134" s="1036"/>
      <c r="AA134" s="1493"/>
      <c r="AB134" s="493"/>
      <c r="AC134" s="493"/>
      <c r="AD134" s="493"/>
      <c r="AE134" s="493"/>
    </row>
    <row r="135" spans="1:31" s="1720" customFormat="1" ht="11.25" customHeight="1">
      <c r="A135" s="880"/>
      <c r="B135" s="1497"/>
      <c r="C135" s="1497"/>
      <c r="D135" s="275"/>
      <c r="K135" s="1036"/>
      <c r="L135" s="1497"/>
      <c r="M135" s="1497"/>
      <c r="N135" s="1036"/>
      <c r="O135" s="1036"/>
      <c r="P135" s="1036"/>
      <c r="Q135" s="1036"/>
      <c r="R135" s="1497"/>
      <c r="S135" s="1036"/>
      <c r="T135" s="1036"/>
      <c r="U135" s="471"/>
      <c r="V135" s="1036"/>
      <c r="W135" s="1036"/>
      <c r="X135" s="1036"/>
      <c r="Y135" s="1036"/>
      <c r="Z135" s="1036"/>
      <c r="AA135" s="1493"/>
      <c r="AB135" s="493"/>
      <c r="AC135" s="493"/>
      <c r="AD135" s="493"/>
      <c r="AE135" s="493"/>
    </row>
    <row r="136" spans="1:31" s="1720" customFormat="1" ht="11.25" customHeight="1">
      <c r="A136" s="880"/>
      <c r="B136" s="1497"/>
      <c r="C136" s="1497"/>
      <c r="D136" s="275"/>
      <c r="K136" s="1036"/>
      <c r="L136" s="1497"/>
      <c r="M136" s="1497"/>
      <c r="N136" s="1036"/>
      <c r="O136" s="1036"/>
      <c r="P136" s="1036"/>
      <c r="Q136" s="1036"/>
      <c r="R136" s="1497"/>
      <c r="S136" s="1036"/>
      <c r="T136" s="1036"/>
      <c r="U136" s="471"/>
      <c r="V136" s="1036"/>
      <c r="W136" s="1036"/>
      <c r="X136" s="1036"/>
      <c r="Y136" s="1036"/>
      <c r="Z136" s="1036"/>
      <c r="AA136" s="1493"/>
      <c r="AB136" s="493"/>
      <c r="AC136" s="493"/>
      <c r="AD136" s="493"/>
      <c r="AE136" s="493"/>
    </row>
    <row r="137" spans="1:31" s="1720" customFormat="1" ht="11.25" customHeight="1">
      <c r="A137" s="880"/>
      <c r="B137" s="1497"/>
      <c r="C137" s="1497"/>
      <c r="D137" s="275"/>
      <c r="K137" s="1036"/>
      <c r="L137" s="1497"/>
      <c r="M137" s="1497"/>
      <c r="N137" s="1036"/>
      <c r="O137" s="1036"/>
      <c r="P137" s="1036"/>
      <c r="Q137" s="1036"/>
      <c r="R137" s="1497"/>
      <c r="S137" s="1036"/>
      <c r="T137" s="1036"/>
      <c r="U137" s="471"/>
      <c r="V137" s="1036"/>
      <c r="W137" s="1036"/>
      <c r="X137" s="1036"/>
      <c r="Y137" s="1036"/>
      <c r="Z137" s="1036"/>
      <c r="AA137" s="1493"/>
      <c r="AB137" s="493"/>
      <c r="AC137" s="493"/>
      <c r="AD137" s="493"/>
      <c r="AE137" s="493"/>
    </row>
    <row r="138" spans="1:31" s="1720" customFormat="1" ht="11.25" customHeight="1">
      <c r="A138" s="880"/>
      <c r="B138" s="1497"/>
      <c r="C138" s="1497"/>
      <c r="D138" s="275"/>
      <c r="K138" s="1036"/>
      <c r="L138" s="1497"/>
      <c r="M138" s="1497"/>
      <c r="N138" s="1036"/>
      <c r="O138" s="1036"/>
      <c r="P138" s="1036"/>
      <c r="Q138" s="1036"/>
      <c r="R138" s="1497"/>
      <c r="S138" s="1036"/>
      <c r="T138" s="1036"/>
      <c r="U138" s="471"/>
      <c r="V138" s="1036"/>
      <c r="W138" s="1036"/>
      <c r="X138" s="1036"/>
      <c r="Y138" s="1036"/>
      <c r="Z138" s="1036"/>
      <c r="AA138" s="1493"/>
      <c r="AB138" s="493"/>
      <c r="AC138" s="493"/>
      <c r="AD138" s="493"/>
      <c r="AE138" s="493"/>
    </row>
    <row r="139" spans="1:31" s="1720" customFormat="1" ht="11.25" customHeight="1">
      <c r="A139" s="880"/>
      <c r="B139" s="1497"/>
      <c r="C139" s="1497"/>
      <c r="D139" s="275"/>
      <c r="K139" s="1036"/>
      <c r="L139" s="1497"/>
      <c r="M139" s="1497"/>
      <c r="N139" s="1036"/>
      <c r="O139" s="1036"/>
      <c r="P139" s="1036"/>
      <c r="Q139" s="1036"/>
      <c r="R139" s="1497"/>
      <c r="S139" s="1036"/>
      <c r="T139" s="1036"/>
      <c r="U139" s="471"/>
      <c r="V139" s="1036"/>
      <c r="W139" s="1036"/>
      <c r="X139" s="1036"/>
      <c r="Y139" s="1036"/>
      <c r="Z139" s="1036"/>
      <c r="AA139" s="1493"/>
      <c r="AB139" s="493"/>
      <c r="AC139" s="493"/>
      <c r="AD139" s="493"/>
      <c r="AE139" s="493"/>
    </row>
    <row r="140" spans="1:31" s="1720" customFormat="1" ht="11.25" customHeight="1">
      <c r="A140" s="880"/>
      <c r="B140" s="1497"/>
      <c r="C140" s="1497"/>
      <c r="D140" s="275"/>
      <c r="K140" s="1036"/>
      <c r="L140" s="1497"/>
      <c r="M140" s="1497"/>
      <c r="N140" s="1036"/>
      <c r="O140" s="1036"/>
      <c r="P140" s="1036"/>
      <c r="Q140" s="1036"/>
      <c r="R140" s="1497"/>
      <c r="S140" s="1036"/>
      <c r="T140" s="1036"/>
      <c r="U140" s="471"/>
      <c r="V140" s="1036"/>
      <c r="W140" s="1036"/>
      <c r="X140" s="1036"/>
      <c r="Y140" s="1036"/>
      <c r="Z140" s="1036"/>
      <c r="AA140" s="1493"/>
      <c r="AB140" s="493"/>
      <c r="AC140" s="493"/>
      <c r="AD140" s="493"/>
      <c r="AE140" s="493"/>
    </row>
    <row r="141" spans="1:31" s="1720" customFormat="1" ht="11.25" customHeight="1">
      <c r="A141" s="880"/>
      <c r="B141" s="1497"/>
      <c r="C141" s="1497"/>
      <c r="D141" s="275"/>
      <c r="K141" s="1036"/>
      <c r="L141" s="1497"/>
      <c r="M141" s="1497"/>
      <c r="N141" s="1036"/>
      <c r="O141" s="1036"/>
      <c r="P141" s="1036"/>
      <c r="Q141" s="1036"/>
      <c r="R141" s="1497"/>
      <c r="S141" s="1036"/>
      <c r="T141" s="1036"/>
      <c r="U141" s="471"/>
      <c r="V141" s="1036"/>
      <c r="W141" s="1036"/>
      <c r="X141" s="1036"/>
      <c r="Y141" s="1036"/>
      <c r="Z141" s="1036"/>
      <c r="AA141" s="1493"/>
      <c r="AB141" s="493"/>
      <c r="AC141" s="493"/>
      <c r="AD141" s="493"/>
      <c r="AE141" s="493"/>
    </row>
    <row r="142" spans="1:31" s="1720" customFormat="1" ht="11.25" customHeight="1">
      <c r="A142" s="880"/>
      <c r="B142" s="1497"/>
      <c r="C142" s="1497"/>
      <c r="D142" s="275"/>
      <c r="K142" s="1036"/>
      <c r="L142" s="1497"/>
      <c r="M142" s="1497"/>
      <c r="N142" s="1036"/>
      <c r="O142" s="1036"/>
      <c r="P142" s="1036"/>
      <c r="Q142" s="1036"/>
      <c r="R142" s="1497"/>
      <c r="S142" s="1036"/>
      <c r="T142" s="1036"/>
      <c r="U142" s="471"/>
      <c r="V142" s="1036"/>
      <c r="W142" s="1036"/>
      <c r="X142" s="1036"/>
      <c r="Y142" s="1036"/>
      <c r="Z142" s="1036"/>
      <c r="AA142" s="1493"/>
      <c r="AB142" s="493"/>
      <c r="AC142" s="493"/>
      <c r="AD142" s="493"/>
      <c r="AE142" s="493"/>
    </row>
    <row r="143" spans="1:31" s="1720" customFormat="1" ht="11.25" customHeight="1">
      <c r="A143" s="880"/>
      <c r="B143" s="1497"/>
      <c r="C143" s="1497"/>
      <c r="D143" s="275"/>
      <c r="K143" s="1036"/>
      <c r="L143" s="1497"/>
      <c r="M143" s="1497"/>
      <c r="N143" s="1036"/>
      <c r="O143" s="1036"/>
      <c r="P143" s="1036"/>
      <c r="Q143" s="1036"/>
      <c r="R143" s="1497"/>
      <c r="S143" s="1036"/>
      <c r="T143" s="1036"/>
      <c r="U143" s="471"/>
      <c r="V143" s="1036"/>
      <c r="W143" s="1036"/>
      <c r="X143" s="1036"/>
      <c r="Y143" s="1036"/>
      <c r="Z143" s="1036"/>
      <c r="AA143" s="1493"/>
      <c r="AB143" s="493"/>
      <c r="AC143" s="493"/>
      <c r="AD143" s="493"/>
      <c r="AE143" s="493"/>
    </row>
    <row r="144" spans="1:31" s="1720" customFormat="1" ht="11.25" customHeight="1">
      <c r="A144" s="880"/>
      <c r="B144" s="1497"/>
      <c r="C144" s="1497"/>
      <c r="D144" s="275"/>
      <c r="K144" s="1036"/>
      <c r="L144" s="1497"/>
      <c r="M144" s="1497"/>
      <c r="N144" s="1036"/>
      <c r="O144" s="1036"/>
      <c r="P144" s="1036"/>
      <c r="Q144" s="1036"/>
      <c r="R144" s="1497"/>
      <c r="S144" s="1036"/>
      <c r="T144" s="1036"/>
      <c r="U144" s="471"/>
      <c r="V144" s="1036"/>
      <c r="W144" s="1036"/>
      <c r="X144" s="1036"/>
      <c r="Y144" s="1036"/>
      <c r="Z144" s="1036"/>
      <c r="AA144" s="1493"/>
      <c r="AB144" s="493"/>
      <c r="AC144" s="493"/>
      <c r="AD144" s="493"/>
      <c r="AE144" s="493"/>
    </row>
    <row r="145" spans="1:31" s="1720" customFormat="1" ht="11.25" customHeight="1">
      <c r="A145" s="880"/>
      <c r="B145" s="1497"/>
      <c r="C145" s="1497"/>
      <c r="D145" s="275"/>
      <c r="K145" s="1036"/>
      <c r="L145" s="1497"/>
      <c r="M145" s="1497"/>
      <c r="N145" s="1036"/>
      <c r="O145" s="1036"/>
      <c r="P145" s="1036"/>
      <c r="Q145" s="1036"/>
      <c r="R145" s="1497"/>
      <c r="S145" s="1036"/>
      <c r="T145" s="1036"/>
      <c r="U145" s="471"/>
      <c r="V145" s="1036"/>
      <c r="W145" s="1036"/>
      <c r="X145" s="1036"/>
      <c r="Y145" s="1036"/>
      <c r="Z145" s="1036"/>
      <c r="AA145" s="1493"/>
      <c r="AB145" s="493"/>
      <c r="AC145" s="493"/>
      <c r="AD145" s="493"/>
      <c r="AE145" s="493"/>
    </row>
    <row r="146" spans="1:31" s="1720" customFormat="1" ht="11.25" customHeight="1">
      <c r="A146" s="880"/>
      <c r="B146" s="1497"/>
      <c r="C146" s="1497"/>
      <c r="D146" s="275"/>
      <c r="K146" s="1036"/>
      <c r="L146" s="1497"/>
      <c r="M146" s="1497"/>
      <c r="N146" s="1036"/>
      <c r="O146" s="1036"/>
      <c r="P146" s="1036"/>
      <c r="Q146" s="1036"/>
      <c r="R146" s="1497"/>
      <c r="S146" s="1036"/>
      <c r="T146" s="1036"/>
      <c r="U146" s="471"/>
      <c r="V146" s="1036"/>
      <c r="W146" s="1036"/>
      <c r="X146" s="1036"/>
      <c r="Y146" s="1036"/>
      <c r="Z146" s="1036"/>
      <c r="AA146" s="1493"/>
      <c r="AB146" s="493"/>
      <c r="AC146" s="493"/>
      <c r="AD146" s="493"/>
      <c r="AE146" s="493"/>
    </row>
    <row r="147" spans="1:31" s="1720" customFormat="1" ht="11.25" customHeight="1">
      <c r="A147" s="880"/>
      <c r="B147" s="1497"/>
      <c r="C147" s="1497"/>
      <c r="D147" s="275"/>
      <c r="K147" s="1036"/>
      <c r="L147" s="1497"/>
      <c r="M147" s="1497"/>
      <c r="N147" s="1036"/>
      <c r="O147" s="1036"/>
      <c r="P147" s="1036"/>
      <c r="Q147" s="1036"/>
      <c r="R147" s="1497"/>
      <c r="S147" s="1036"/>
      <c r="T147" s="1036"/>
      <c r="U147" s="471"/>
      <c r="V147" s="1036"/>
      <c r="W147" s="1036"/>
      <c r="X147" s="1036"/>
      <c r="Y147" s="1036"/>
      <c r="Z147" s="1036"/>
      <c r="AA147" s="1493"/>
      <c r="AB147" s="493"/>
      <c r="AC147" s="493"/>
      <c r="AD147" s="493"/>
      <c r="AE147" s="493"/>
    </row>
    <row r="148" spans="1:31" s="1720" customFormat="1" ht="11.25" customHeight="1">
      <c r="A148" s="880"/>
      <c r="B148" s="1497"/>
      <c r="C148" s="1497"/>
      <c r="D148" s="275"/>
      <c r="K148" s="1036"/>
      <c r="L148" s="1497"/>
      <c r="M148" s="1497"/>
      <c r="N148" s="1036"/>
      <c r="O148" s="1036"/>
      <c r="P148" s="1036"/>
      <c r="Q148" s="1036"/>
      <c r="R148" s="1497"/>
      <c r="S148" s="1036"/>
      <c r="T148" s="1036"/>
      <c r="U148" s="471"/>
      <c r="V148" s="1036"/>
      <c r="W148" s="1036"/>
      <c r="X148" s="1036"/>
      <c r="Y148" s="1036"/>
      <c r="Z148" s="1036"/>
      <c r="AA148" s="1493"/>
      <c r="AB148" s="493"/>
      <c r="AC148" s="493"/>
      <c r="AD148" s="493"/>
      <c r="AE148" s="493"/>
    </row>
    <row r="149" spans="1:31" s="1720" customFormat="1" ht="11.25" customHeight="1">
      <c r="A149" s="880"/>
      <c r="B149" s="1497"/>
      <c r="C149" s="1497"/>
      <c r="D149" s="275"/>
      <c r="K149" s="1036"/>
      <c r="L149" s="1497"/>
      <c r="M149" s="1497"/>
      <c r="N149" s="1036"/>
      <c r="O149" s="1036"/>
      <c r="P149" s="1036"/>
      <c r="Q149" s="1036"/>
      <c r="R149" s="1497"/>
      <c r="S149" s="1036"/>
      <c r="T149" s="1036"/>
      <c r="U149" s="471"/>
      <c r="V149" s="1036"/>
      <c r="W149" s="1036"/>
      <c r="X149" s="1036"/>
      <c r="Y149" s="1036"/>
      <c r="Z149" s="1036"/>
      <c r="AA149" s="1493"/>
      <c r="AB149" s="493"/>
      <c r="AC149" s="493"/>
      <c r="AD149" s="493"/>
      <c r="AE149" s="493"/>
    </row>
    <row r="150" spans="1:31" s="1720" customFormat="1" ht="11.25" customHeight="1">
      <c r="A150" s="880"/>
      <c r="B150" s="1497"/>
      <c r="C150" s="1497"/>
      <c r="D150" s="275"/>
      <c r="K150" s="1036"/>
      <c r="L150" s="1497"/>
      <c r="M150" s="1497"/>
      <c r="N150" s="1036"/>
      <c r="O150" s="1036"/>
      <c r="P150" s="1036"/>
      <c r="Q150" s="1036"/>
      <c r="R150" s="1497"/>
      <c r="S150" s="1036"/>
      <c r="T150" s="1036"/>
      <c r="U150" s="471"/>
      <c r="V150" s="1036"/>
      <c r="W150" s="1036"/>
      <c r="X150" s="1036"/>
      <c r="Y150" s="1036"/>
      <c r="Z150" s="1036"/>
      <c r="AA150" s="1493"/>
      <c r="AB150" s="493"/>
      <c r="AC150" s="493"/>
      <c r="AD150" s="493"/>
      <c r="AE150" s="493"/>
    </row>
    <row r="151" spans="1:31" s="1720" customFormat="1" ht="11.25" customHeight="1">
      <c r="A151" s="880"/>
      <c r="B151" s="1497"/>
      <c r="C151" s="1497"/>
      <c r="D151" s="275"/>
      <c r="K151" s="1036"/>
      <c r="L151" s="1497"/>
      <c r="M151" s="1497"/>
      <c r="N151" s="1036"/>
      <c r="O151" s="1036"/>
      <c r="P151" s="1036"/>
      <c r="Q151" s="1036"/>
      <c r="R151" s="1497"/>
      <c r="S151" s="1036"/>
      <c r="T151" s="1036"/>
      <c r="U151" s="471"/>
      <c r="V151" s="1036"/>
      <c r="W151" s="1036"/>
      <c r="X151" s="1036"/>
      <c r="Y151" s="1036"/>
      <c r="Z151" s="1036"/>
      <c r="AA151" s="1493"/>
      <c r="AB151" s="493"/>
      <c r="AC151" s="493"/>
      <c r="AD151" s="493"/>
      <c r="AE151" s="493"/>
    </row>
    <row r="152" spans="1:31" s="1720" customFormat="1" ht="11.25" customHeight="1">
      <c r="A152" s="880"/>
      <c r="B152" s="1497"/>
      <c r="C152" s="1497"/>
      <c r="D152" s="275"/>
      <c r="K152" s="1036"/>
      <c r="L152" s="1497"/>
      <c r="M152" s="1497"/>
      <c r="N152" s="1036"/>
      <c r="O152" s="1036"/>
      <c r="P152" s="1036"/>
      <c r="Q152" s="1036"/>
      <c r="R152" s="1497"/>
      <c r="S152" s="1036"/>
      <c r="T152" s="1036"/>
      <c r="U152" s="471"/>
      <c r="V152" s="1036"/>
      <c r="W152" s="1036"/>
      <c r="X152" s="1036"/>
      <c r="Y152" s="1036"/>
      <c r="Z152" s="1036"/>
      <c r="AA152" s="1493"/>
      <c r="AB152" s="493"/>
      <c r="AC152" s="493"/>
      <c r="AD152" s="493"/>
      <c r="AE152" s="493"/>
    </row>
    <row r="153" spans="1:31" s="1720" customFormat="1" ht="11.25" customHeight="1">
      <c r="A153" s="880"/>
      <c r="B153" s="1497"/>
      <c r="C153" s="1497"/>
      <c r="D153" s="275"/>
      <c r="K153" s="1036"/>
      <c r="L153" s="1497"/>
      <c r="M153" s="1497"/>
      <c r="N153" s="1036"/>
      <c r="O153" s="1036"/>
      <c r="P153" s="1036"/>
      <c r="Q153" s="1036"/>
      <c r="R153" s="1497"/>
      <c r="S153" s="1036"/>
      <c r="T153" s="1036"/>
      <c r="U153" s="471"/>
      <c r="V153" s="1036"/>
      <c r="W153" s="1036"/>
      <c r="X153" s="1036"/>
      <c r="Y153" s="1036"/>
      <c r="Z153" s="1036"/>
      <c r="AA153" s="1493"/>
      <c r="AB153" s="493"/>
      <c r="AC153" s="493"/>
      <c r="AD153" s="493"/>
      <c r="AE153" s="493"/>
    </row>
    <row r="154" spans="1:31" s="1720" customFormat="1" ht="11.25" customHeight="1">
      <c r="A154" s="880"/>
      <c r="B154" s="1497"/>
      <c r="C154" s="1497"/>
      <c r="D154" s="275"/>
      <c r="K154" s="1036"/>
      <c r="L154" s="1497"/>
      <c r="M154" s="1497"/>
      <c r="N154" s="1036"/>
      <c r="O154" s="1036"/>
      <c r="P154" s="1036"/>
      <c r="Q154" s="1036"/>
      <c r="R154" s="1497"/>
      <c r="S154" s="1036"/>
      <c r="T154" s="1036"/>
      <c r="U154" s="471"/>
      <c r="V154" s="1036"/>
      <c r="W154" s="1036"/>
      <c r="X154" s="1036"/>
      <c r="Y154" s="1036"/>
      <c r="Z154" s="1036"/>
      <c r="AA154" s="1493"/>
      <c r="AB154" s="493"/>
      <c r="AC154" s="493"/>
      <c r="AD154" s="493"/>
      <c r="AE154" s="493"/>
    </row>
    <row r="155" spans="1:31" s="1720" customFormat="1" ht="11.25" customHeight="1">
      <c r="A155" s="880"/>
      <c r="B155" s="1497"/>
      <c r="C155" s="1497"/>
      <c r="D155" s="275"/>
      <c r="K155" s="1036"/>
      <c r="L155" s="1497"/>
      <c r="M155" s="1497"/>
      <c r="N155" s="1036"/>
      <c r="O155" s="1036"/>
      <c r="P155" s="1036"/>
      <c r="Q155" s="1036"/>
      <c r="R155" s="1497"/>
      <c r="S155" s="1036"/>
      <c r="T155" s="1036"/>
      <c r="U155" s="471"/>
      <c r="V155" s="1036"/>
      <c r="W155" s="1036"/>
      <c r="X155" s="1036"/>
      <c r="Y155" s="1036"/>
      <c r="Z155" s="1036"/>
      <c r="AA155" s="1493"/>
      <c r="AB155" s="493"/>
      <c r="AC155" s="493"/>
      <c r="AD155" s="493"/>
      <c r="AE155" s="493"/>
    </row>
    <row r="156" spans="1:31" s="1720" customFormat="1" ht="11.25" customHeight="1">
      <c r="A156" s="880"/>
      <c r="B156" s="1497"/>
      <c r="C156" s="1497"/>
      <c r="D156" s="275"/>
      <c r="K156" s="1036"/>
      <c r="L156" s="1497"/>
      <c r="M156" s="1497"/>
      <c r="N156" s="1036"/>
      <c r="O156" s="1036"/>
      <c r="P156" s="1036"/>
      <c r="Q156" s="1036"/>
      <c r="R156" s="1497"/>
      <c r="S156" s="1036"/>
      <c r="T156" s="1036"/>
      <c r="U156" s="471"/>
      <c r="V156" s="1036"/>
      <c r="W156" s="1036"/>
      <c r="X156" s="1036"/>
      <c r="Y156" s="1036"/>
      <c r="Z156" s="1036"/>
      <c r="AA156" s="1493"/>
      <c r="AB156" s="493"/>
      <c r="AC156" s="493"/>
      <c r="AD156" s="493"/>
      <c r="AE156" s="493"/>
    </row>
    <row r="157" spans="1:31" s="1720" customFormat="1" ht="11.25" customHeight="1">
      <c r="A157" s="880"/>
      <c r="B157" s="1497"/>
      <c r="C157" s="1497"/>
      <c r="D157" s="275"/>
      <c r="K157" s="1036"/>
      <c r="L157" s="1497"/>
      <c r="M157" s="1497"/>
      <c r="N157" s="1036"/>
      <c r="O157" s="1036"/>
      <c r="P157" s="1036"/>
      <c r="Q157" s="1036"/>
      <c r="R157" s="1497"/>
      <c r="S157" s="1036"/>
      <c r="T157" s="1036"/>
      <c r="U157" s="471"/>
      <c r="V157" s="1036"/>
      <c r="W157" s="1036"/>
      <c r="X157" s="1036"/>
      <c r="Y157" s="1036"/>
      <c r="Z157" s="1036"/>
      <c r="AA157" s="1493"/>
      <c r="AB157" s="493"/>
      <c r="AC157" s="493"/>
      <c r="AD157" s="493"/>
      <c r="AE157" s="493"/>
    </row>
    <row r="158" spans="1:31" s="1720" customFormat="1" ht="11.25" customHeight="1">
      <c r="A158" s="880"/>
      <c r="B158" s="1497"/>
      <c r="C158" s="1497"/>
      <c r="D158" s="275"/>
      <c r="K158" s="1036"/>
      <c r="L158" s="1497"/>
      <c r="M158" s="1497"/>
      <c r="N158" s="1036"/>
      <c r="O158" s="1036"/>
      <c r="P158" s="1036"/>
      <c r="Q158" s="1036"/>
      <c r="R158" s="1497"/>
      <c r="S158" s="1036"/>
      <c r="T158" s="1036"/>
      <c r="U158" s="471"/>
      <c r="V158" s="1036"/>
      <c r="W158" s="1036"/>
      <c r="X158" s="1036"/>
      <c r="Y158" s="1036"/>
      <c r="Z158" s="1036"/>
      <c r="AA158" s="1493"/>
      <c r="AB158" s="493"/>
      <c r="AC158" s="493"/>
      <c r="AD158" s="493"/>
      <c r="AE158" s="493"/>
    </row>
    <row r="159" spans="1:31" s="1720" customFormat="1" ht="11.25" customHeight="1">
      <c r="A159" s="880"/>
      <c r="B159" s="1497"/>
      <c r="C159" s="1497"/>
      <c r="D159" s="275"/>
      <c r="K159" s="1036"/>
      <c r="L159" s="1497"/>
      <c r="M159" s="1497"/>
      <c r="N159" s="1036"/>
      <c r="O159" s="1036"/>
      <c r="P159" s="1036"/>
      <c r="Q159" s="1036"/>
      <c r="R159" s="1497"/>
      <c r="S159" s="1036"/>
      <c r="T159" s="1036"/>
      <c r="U159" s="471"/>
      <c r="V159" s="1036"/>
      <c r="W159" s="1036"/>
      <c r="X159" s="1036"/>
      <c r="Y159" s="1036"/>
      <c r="Z159" s="1036"/>
      <c r="AA159" s="1493"/>
      <c r="AB159" s="493"/>
      <c r="AC159" s="493"/>
      <c r="AD159" s="493"/>
      <c r="AE159" s="493"/>
    </row>
    <row r="160" spans="1:31" s="1720" customFormat="1" ht="11.25" customHeight="1">
      <c r="A160" s="880"/>
      <c r="B160" s="1497"/>
      <c r="C160" s="1497"/>
      <c r="D160" s="275"/>
      <c r="K160" s="1036"/>
      <c r="L160" s="1497"/>
      <c r="M160" s="1497"/>
      <c r="N160" s="1036"/>
      <c r="O160" s="1036"/>
      <c r="P160" s="1036"/>
      <c r="Q160" s="1036"/>
      <c r="R160" s="1497"/>
      <c r="S160" s="1036"/>
      <c r="T160" s="1036"/>
      <c r="U160" s="471"/>
      <c r="V160" s="1036"/>
      <c r="W160" s="1036"/>
      <c r="X160" s="1036"/>
      <c r="Y160" s="1036"/>
      <c r="Z160" s="1036"/>
      <c r="AA160" s="1493"/>
      <c r="AB160" s="493"/>
      <c r="AC160" s="493"/>
      <c r="AD160" s="493"/>
      <c r="AE160" s="493"/>
    </row>
    <row r="161" spans="1:31" s="1720" customFormat="1" ht="11.25" customHeight="1">
      <c r="A161" s="880"/>
      <c r="B161" s="1497"/>
      <c r="C161" s="1497"/>
      <c r="D161" s="275"/>
      <c r="K161" s="1036"/>
      <c r="L161" s="1497"/>
      <c r="M161" s="1497"/>
      <c r="N161" s="1036"/>
      <c r="O161" s="1036"/>
      <c r="P161" s="1036"/>
      <c r="Q161" s="1036"/>
      <c r="R161" s="1497"/>
      <c r="S161" s="1036"/>
      <c r="T161" s="1036"/>
      <c r="U161" s="471"/>
      <c r="V161" s="1036"/>
      <c r="W161" s="1036"/>
      <c r="X161" s="1036"/>
      <c r="Y161" s="1036"/>
      <c r="Z161" s="1036"/>
      <c r="AA161" s="1493"/>
      <c r="AB161" s="493"/>
      <c r="AC161" s="493"/>
      <c r="AD161" s="493"/>
      <c r="AE161" s="493"/>
    </row>
    <row r="162" spans="1:31" s="1720" customFormat="1" ht="11.25" customHeight="1">
      <c r="A162" s="880"/>
      <c r="B162" s="1497"/>
      <c r="C162" s="1497"/>
      <c r="D162" s="275"/>
      <c r="K162" s="1036"/>
      <c r="L162" s="1497"/>
      <c r="M162" s="1497"/>
      <c r="N162" s="1036"/>
      <c r="O162" s="1036"/>
      <c r="P162" s="1036"/>
      <c r="Q162" s="1036"/>
      <c r="R162" s="1497"/>
      <c r="S162" s="1036"/>
      <c r="T162" s="1036"/>
      <c r="U162" s="471"/>
      <c r="V162" s="1036"/>
      <c r="W162" s="1036"/>
      <c r="X162" s="1036"/>
      <c r="Y162" s="1036"/>
      <c r="Z162" s="1036"/>
      <c r="AA162" s="1493"/>
      <c r="AB162" s="493"/>
      <c r="AC162" s="493"/>
      <c r="AD162" s="493"/>
      <c r="AE162" s="493"/>
    </row>
    <row r="163" spans="1:31" s="1720" customFormat="1" ht="11.25" customHeight="1">
      <c r="A163" s="880"/>
      <c r="B163" s="1497"/>
      <c r="C163" s="1497"/>
      <c r="D163" s="275"/>
      <c r="K163" s="1036"/>
      <c r="L163" s="1497"/>
      <c r="M163" s="1497"/>
      <c r="N163" s="1036"/>
      <c r="O163" s="1036"/>
      <c r="P163" s="1036"/>
      <c r="Q163" s="1036"/>
      <c r="R163" s="1497"/>
      <c r="S163" s="1036"/>
      <c r="T163" s="1036"/>
      <c r="U163" s="471"/>
      <c r="V163" s="1036"/>
      <c r="W163" s="1036"/>
      <c r="X163" s="1036"/>
      <c r="Y163" s="1036"/>
      <c r="Z163" s="1036"/>
      <c r="AA163" s="1493"/>
      <c r="AB163" s="493"/>
      <c r="AC163" s="493"/>
      <c r="AD163" s="493"/>
      <c r="AE163" s="493"/>
    </row>
    <row r="164" spans="1:31" s="1720" customFormat="1" ht="11.25" customHeight="1">
      <c r="A164" s="880"/>
      <c r="B164" s="1497"/>
      <c r="C164" s="1497"/>
      <c r="D164" s="275"/>
      <c r="K164" s="1036"/>
      <c r="L164" s="1497"/>
      <c r="M164" s="1497"/>
      <c r="N164" s="1036"/>
      <c r="O164" s="1036"/>
      <c r="P164" s="1036"/>
      <c r="Q164" s="1036"/>
      <c r="R164" s="1497"/>
      <c r="S164" s="1036"/>
      <c r="T164" s="1036"/>
      <c r="U164" s="471"/>
      <c r="V164" s="1036"/>
      <c r="W164" s="1036"/>
      <c r="X164" s="1036"/>
      <c r="Y164" s="1036"/>
      <c r="Z164" s="1036"/>
      <c r="AA164" s="1493"/>
      <c r="AB164" s="493"/>
      <c r="AC164" s="493"/>
      <c r="AD164" s="493"/>
      <c r="AE164" s="493"/>
    </row>
    <row r="165" spans="1:31" s="1720" customFormat="1" ht="11.25" customHeight="1">
      <c r="A165" s="880"/>
      <c r="B165" s="1497"/>
      <c r="C165" s="1497"/>
      <c r="D165" s="275"/>
      <c r="K165" s="1036"/>
      <c r="L165" s="1497"/>
      <c r="M165" s="1497"/>
      <c r="N165" s="1036"/>
      <c r="O165" s="1036"/>
      <c r="P165" s="1036"/>
      <c r="Q165" s="1036"/>
      <c r="R165" s="1497"/>
      <c r="S165" s="1036"/>
      <c r="T165" s="1036"/>
      <c r="U165" s="471"/>
      <c r="V165" s="1036"/>
      <c r="W165" s="1036"/>
      <c r="X165" s="1036"/>
      <c r="Y165" s="1036"/>
      <c r="Z165" s="1036"/>
      <c r="AA165" s="1493"/>
      <c r="AB165" s="493"/>
      <c r="AC165" s="493"/>
      <c r="AD165" s="493"/>
      <c r="AE165" s="493"/>
    </row>
    <row r="166" spans="1:31" s="1720" customFormat="1" ht="11.25" customHeight="1">
      <c r="A166" s="880"/>
      <c r="B166" s="1497"/>
      <c r="C166" s="1497"/>
      <c r="D166" s="275"/>
      <c r="K166" s="1036"/>
      <c r="L166" s="1497"/>
      <c r="M166" s="1497"/>
      <c r="N166" s="1036"/>
      <c r="O166" s="1036"/>
      <c r="P166" s="1036"/>
      <c r="Q166" s="1036"/>
      <c r="R166" s="1497"/>
      <c r="S166" s="1036"/>
      <c r="T166" s="1036"/>
      <c r="U166" s="471"/>
      <c r="V166" s="1036"/>
      <c r="W166" s="1036"/>
      <c r="X166" s="1036"/>
      <c r="Y166" s="1036"/>
      <c r="Z166" s="1036"/>
      <c r="AA166" s="1493"/>
      <c r="AB166" s="493"/>
      <c r="AC166" s="493"/>
      <c r="AD166" s="493"/>
      <c r="AE166" s="493"/>
    </row>
    <row r="167" spans="1:31" s="1720" customFormat="1" ht="11.25" customHeight="1">
      <c r="A167" s="880"/>
      <c r="B167" s="1497"/>
      <c r="C167" s="1497"/>
      <c r="D167" s="275"/>
      <c r="K167" s="1036"/>
      <c r="L167" s="1497"/>
      <c r="M167" s="1497"/>
      <c r="N167" s="1036"/>
      <c r="O167" s="1036"/>
      <c r="P167" s="1036"/>
      <c r="Q167" s="1036"/>
      <c r="R167" s="1497"/>
      <c r="S167" s="1036"/>
      <c r="T167" s="1036"/>
      <c r="U167" s="471"/>
      <c r="V167" s="1036"/>
      <c r="W167" s="1036"/>
      <c r="X167" s="1036"/>
      <c r="Y167" s="1036"/>
      <c r="Z167" s="1036"/>
      <c r="AA167" s="1493"/>
      <c r="AB167" s="493"/>
      <c r="AC167" s="493"/>
      <c r="AD167" s="493"/>
      <c r="AE167" s="493"/>
    </row>
    <row r="168" spans="1:31" s="1720" customFormat="1" ht="11.25" customHeight="1">
      <c r="A168" s="880"/>
      <c r="B168" s="1497"/>
      <c r="C168" s="1497"/>
      <c r="D168" s="275"/>
      <c r="K168" s="1036"/>
      <c r="L168" s="1497"/>
      <c r="M168" s="1497"/>
      <c r="N168" s="1036"/>
      <c r="O168" s="1036"/>
      <c r="P168" s="1036"/>
      <c r="Q168" s="1036"/>
      <c r="R168" s="1497"/>
      <c r="S168" s="1036"/>
      <c r="T168" s="1036"/>
      <c r="U168" s="471"/>
      <c r="V168" s="1036"/>
      <c r="W168" s="1036"/>
      <c r="X168" s="1036"/>
      <c r="Y168" s="1036"/>
      <c r="Z168" s="1036"/>
      <c r="AA168" s="1493"/>
      <c r="AB168" s="493"/>
      <c r="AC168" s="493"/>
      <c r="AD168" s="493"/>
      <c r="AE168" s="493"/>
    </row>
    <row r="169" spans="1:31" s="1720" customFormat="1" ht="11.25" customHeight="1">
      <c r="A169" s="880"/>
      <c r="B169" s="1497"/>
      <c r="C169" s="1497"/>
      <c r="D169" s="275"/>
      <c r="K169" s="1036"/>
      <c r="L169" s="1497"/>
      <c r="M169" s="1497"/>
      <c r="N169" s="1036"/>
      <c r="O169" s="1036"/>
      <c r="P169" s="1036"/>
      <c r="Q169" s="1036"/>
      <c r="R169" s="1497"/>
      <c r="S169" s="1036"/>
      <c r="T169" s="1036"/>
      <c r="U169" s="471"/>
      <c r="V169" s="1036"/>
      <c r="W169" s="1036"/>
      <c r="X169" s="1036"/>
      <c r="Y169" s="1036"/>
      <c r="Z169" s="1036"/>
      <c r="AA169" s="1493"/>
      <c r="AB169" s="493"/>
      <c r="AC169" s="493"/>
      <c r="AD169" s="493"/>
      <c r="AE169" s="493"/>
    </row>
    <row r="170" spans="1:31" s="1720" customFormat="1" ht="11.25" customHeight="1">
      <c r="A170" s="880"/>
      <c r="B170" s="1497"/>
      <c r="C170" s="1497"/>
      <c r="D170" s="275"/>
      <c r="K170" s="1036"/>
      <c r="L170" s="1497"/>
      <c r="M170" s="1497"/>
      <c r="N170" s="1036"/>
      <c r="O170" s="1036"/>
      <c r="P170" s="1036"/>
      <c r="Q170" s="1036"/>
      <c r="R170" s="1497"/>
      <c r="S170" s="1036"/>
      <c r="T170" s="1036"/>
      <c r="U170" s="471"/>
      <c r="V170" s="1036"/>
      <c r="W170" s="1036"/>
      <c r="X170" s="1036"/>
      <c r="Y170" s="1036"/>
      <c r="Z170" s="1036"/>
      <c r="AA170" s="1493"/>
      <c r="AB170" s="493"/>
      <c r="AC170" s="493"/>
      <c r="AD170" s="493"/>
      <c r="AE170" s="493"/>
    </row>
    <row r="171" spans="1:31" s="1720" customFormat="1" ht="11.25" customHeight="1">
      <c r="A171" s="880"/>
      <c r="B171" s="1497"/>
      <c r="C171" s="1497"/>
      <c r="D171" s="275"/>
      <c r="K171" s="1036"/>
      <c r="L171" s="1497"/>
      <c r="M171" s="1497"/>
      <c r="N171" s="1036"/>
      <c r="O171" s="1036"/>
      <c r="P171" s="1036"/>
      <c r="Q171" s="1036"/>
      <c r="R171" s="1497"/>
      <c r="S171" s="1036"/>
      <c r="T171" s="1036"/>
      <c r="U171" s="471"/>
      <c r="V171" s="1036"/>
      <c r="W171" s="1036"/>
      <c r="X171" s="1036"/>
      <c r="Y171" s="1036"/>
      <c r="Z171" s="1036"/>
      <c r="AA171" s="1493"/>
      <c r="AB171" s="493"/>
      <c r="AC171" s="493"/>
      <c r="AD171" s="493"/>
      <c r="AE171" s="493"/>
    </row>
    <row r="172" spans="1:31" s="1720" customFormat="1" ht="11.25" customHeight="1">
      <c r="A172" s="880"/>
      <c r="B172" s="1497"/>
      <c r="C172" s="1497"/>
      <c r="D172" s="275"/>
      <c r="K172" s="1036"/>
      <c r="L172" s="1497"/>
      <c r="M172" s="1497"/>
      <c r="N172" s="1036"/>
      <c r="O172" s="1036"/>
      <c r="P172" s="1036"/>
      <c r="Q172" s="1036"/>
      <c r="R172" s="1497"/>
      <c r="S172" s="1036"/>
      <c r="T172" s="1036"/>
      <c r="U172" s="471"/>
      <c r="V172" s="1036"/>
      <c r="W172" s="1036"/>
      <c r="X172" s="1036"/>
      <c r="Y172" s="1036"/>
      <c r="Z172" s="1036"/>
      <c r="AA172" s="1493"/>
      <c r="AB172" s="493"/>
      <c r="AC172" s="493"/>
      <c r="AD172" s="493"/>
      <c r="AE172" s="493"/>
    </row>
    <row r="173" spans="1:31" s="1720" customFormat="1" ht="11.25" customHeight="1">
      <c r="A173" s="880"/>
      <c r="B173" s="1497"/>
      <c r="C173" s="1497"/>
      <c r="D173" s="275"/>
      <c r="K173" s="1036"/>
      <c r="L173" s="1497"/>
      <c r="M173" s="1497"/>
      <c r="N173" s="1036"/>
      <c r="O173" s="1036"/>
      <c r="P173" s="1036"/>
      <c r="Q173" s="1036"/>
      <c r="R173" s="1497"/>
      <c r="S173" s="1036"/>
      <c r="T173" s="1036"/>
      <c r="U173" s="471"/>
      <c r="V173" s="1036"/>
      <c r="W173" s="1036"/>
      <c r="X173" s="1036"/>
      <c r="Y173" s="1036"/>
      <c r="Z173" s="1036"/>
      <c r="AA173" s="1493"/>
      <c r="AB173" s="493"/>
      <c r="AC173" s="493"/>
      <c r="AD173" s="493"/>
      <c r="AE173" s="493"/>
    </row>
    <row r="174" spans="1:31" s="1720" customFormat="1" ht="11.25" customHeight="1">
      <c r="A174" s="880"/>
      <c r="B174" s="1497"/>
      <c r="C174" s="1497"/>
      <c r="D174" s="275"/>
      <c r="K174" s="1036"/>
      <c r="L174" s="1497"/>
      <c r="M174" s="1497"/>
      <c r="N174" s="1036"/>
      <c r="O174" s="1036"/>
      <c r="P174" s="1036"/>
      <c r="Q174" s="1036"/>
      <c r="R174" s="1497"/>
      <c r="S174" s="1036"/>
      <c r="T174" s="1036"/>
      <c r="U174" s="471"/>
      <c r="V174" s="1036"/>
      <c r="W174" s="1036"/>
      <c r="X174" s="1036"/>
      <c r="Y174" s="1036"/>
      <c r="Z174" s="1036"/>
      <c r="AA174" s="1493"/>
      <c r="AB174" s="493"/>
      <c r="AC174" s="493"/>
      <c r="AD174" s="493"/>
      <c r="AE174" s="493"/>
    </row>
    <row r="175" spans="1:31" s="1720" customFormat="1" ht="11.25" customHeight="1">
      <c r="A175" s="880"/>
      <c r="B175" s="1497"/>
      <c r="C175" s="1497"/>
      <c r="D175" s="275"/>
      <c r="K175" s="1036"/>
      <c r="L175" s="1497"/>
      <c r="M175" s="1497"/>
      <c r="N175" s="1036"/>
      <c r="O175" s="1036"/>
      <c r="P175" s="1036"/>
      <c r="Q175" s="1036"/>
      <c r="R175" s="1497"/>
      <c r="S175" s="1036"/>
      <c r="T175" s="1036"/>
      <c r="U175" s="471"/>
      <c r="V175" s="1036"/>
      <c r="W175" s="1036"/>
      <c r="X175" s="1036"/>
      <c r="Y175" s="1036"/>
      <c r="Z175" s="1036"/>
      <c r="AA175" s="1493"/>
      <c r="AB175" s="493"/>
      <c r="AC175" s="493"/>
      <c r="AD175" s="493"/>
      <c r="AE175" s="493"/>
    </row>
    <row r="176" spans="1:31" s="1720" customFormat="1" ht="11.25" customHeight="1">
      <c r="A176" s="880"/>
      <c r="B176" s="1497"/>
      <c r="C176" s="1497"/>
      <c r="D176" s="275"/>
      <c r="K176" s="1036"/>
      <c r="L176" s="1497"/>
      <c r="M176" s="1497"/>
      <c r="N176" s="1036"/>
      <c r="O176" s="1036"/>
      <c r="P176" s="1036"/>
      <c r="Q176" s="1036"/>
      <c r="R176" s="1497"/>
      <c r="S176" s="1036"/>
      <c r="T176" s="1036"/>
      <c r="U176" s="471"/>
      <c r="V176" s="1036"/>
      <c r="W176" s="1036"/>
      <c r="X176" s="1036"/>
      <c r="Y176" s="1036"/>
      <c r="Z176" s="1036"/>
      <c r="AA176" s="1493"/>
      <c r="AB176" s="493"/>
      <c r="AC176" s="493"/>
      <c r="AD176" s="493"/>
      <c r="AE176" s="493"/>
    </row>
    <row r="177" spans="1:31" s="1720" customFormat="1" ht="11.25" customHeight="1">
      <c r="A177" s="880"/>
      <c r="B177" s="1497"/>
      <c r="C177" s="1497"/>
      <c r="D177" s="275"/>
      <c r="K177" s="1036"/>
      <c r="L177" s="1497"/>
      <c r="M177" s="1497"/>
      <c r="N177" s="1036"/>
      <c r="O177" s="1036"/>
      <c r="P177" s="1036"/>
      <c r="Q177" s="1036"/>
      <c r="R177" s="1497"/>
      <c r="S177" s="1036"/>
      <c r="T177" s="1036"/>
      <c r="U177" s="471"/>
      <c r="V177" s="1036"/>
      <c r="W177" s="1036"/>
      <c r="X177" s="1036"/>
      <c r="Y177" s="1036"/>
      <c r="Z177" s="1036"/>
      <c r="AA177" s="1493"/>
      <c r="AB177" s="493"/>
      <c r="AC177" s="493"/>
      <c r="AD177" s="493"/>
      <c r="AE177" s="493"/>
    </row>
    <row r="178" spans="1:31" s="1720" customFormat="1" ht="11.25" customHeight="1">
      <c r="A178" s="880"/>
      <c r="B178" s="1497"/>
      <c r="C178" s="1497"/>
      <c r="D178" s="275"/>
      <c r="K178" s="1036"/>
      <c r="L178" s="1497"/>
      <c r="M178" s="1497"/>
      <c r="N178" s="1036"/>
      <c r="O178" s="1036"/>
      <c r="P178" s="1036"/>
      <c r="Q178" s="1036"/>
      <c r="R178" s="1497"/>
      <c r="S178" s="1036"/>
      <c r="T178" s="1036"/>
      <c r="U178" s="471"/>
      <c r="V178" s="1036"/>
      <c r="W178" s="1036"/>
      <c r="X178" s="1036"/>
      <c r="Y178" s="1036"/>
      <c r="Z178" s="1036"/>
      <c r="AA178" s="1493"/>
      <c r="AB178" s="493"/>
      <c r="AC178" s="493"/>
      <c r="AD178" s="493"/>
      <c r="AE178" s="493"/>
    </row>
    <row r="179" spans="1:31" s="1720" customFormat="1" ht="11.25" customHeight="1">
      <c r="A179" s="880"/>
      <c r="B179" s="1497"/>
      <c r="C179" s="1497"/>
      <c r="D179" s="275"/>
      <c r="K179" s="1036"/>
      <c r="L179" s="1497"/>
      <c r="M179" s="1497"/>
      <c r="N179" s="1036"/>
      <c r="O179" s="1036"/>
      <c r="P179" s="1036"/>
      <c r="Q179" s="1036"/>
      <c r="R179" s="1497"/>
      <c r="S179" s="1036"/>
      <c r="T179" s="1036"/>
      <c r="U179" s="471"/>
      <c r="V179" s="1036"/>
      <c r="W179" s="1036"/>
      <c r="X179" s="1036"/>
      <c r="Y179" s="1036"/>
      <c r="Z179" s="1036"/>
      <c r="AA179" s="1493"/>
      <c r="AB179" s="493"/>
      <c r="AC179" s="493"/>
      <c r="AD179" s="493"/>
      <c r="AE179" s="493"/>
    </row>
    <row r="180" spans="1:31" s="1720" customFormat="1" ht="11.25" customHeight="1">
      <c r="A180" s="880"/>
      <c r="B180" s="1497"/>
      <c r="C180" s="1497"/>
      <c r="D180" s="275"/>
      <c r="K180" s="1036"/>
      <c r="L180" s="1497"/>
      <c r="M180" s="1497"/>
      <c r="N180" s="1036"/>
      <c r="O180" s="1036"/>
      <c r="P180" s="1036"/>
      <c r="Q180" s="1036"/>
      <c r="R180" s="1497"/>
      <c r="S180" s="1036"/>
      <c r="T180" s="1036"/>
      <c r="U180" s="471"/>
      <c r="V180" s="1036"/>
      <c r="W180" s="1036"/>
      <c r="X180" s="1036"/>
      <c r="Y180" s="1036"/>
      <c r="Z180" s="1036"/>
      <c r="AA180" s="1493"/>
      <c r="AB180" s="493"/>
      <c r="AC180" s="493"/>
      <c r="AD180" s="493"/>
      <c r="AE180" s="493"/>
    </row>
    <row r="181" spans="1:31" s="1720" customFormat="1" ht="11.25" customHeight="1">
      <c r="A181" s="880"/>
      <c r="B181" s="1497"/>
      <c r="C181" s="1497"/>
      <c r="D181" s="275"/>
      <c r="K181" s="1036"/>
      <c r="L181" s="1497"/>
      <c r="M181" s="1497"/>
      <c r="N181" s="1036"/>
      <c r="O181" s="1036"/>
      <c r="P181" s="1036"/>
      <c r="Q181" s="1036"/>
      <c r="R181" s="1497"/>
      <c r="S181" s="1036"/>
      <c r="T181" s="1036"/>
      <c r="U181" s="471"/>
      <c r="V181" s="1036"/>
      <c r="W181" s="1036"/>
      <c r="X181" s="1036"/>
      <c r="Y181" s="1036"/>
      <c r="Z181" s="1036"/>
      <c r="AA181" s="1493"/>
      <c r="AB181" s="493"/>
      <c r="AC181" s="493"/>
      <c r="AD181" s="493"/>
      <c r="AE181" s="493"/>
    </row>
    <row r="182" spans="1:31" s="1720" customFormat="1" ht="11.25" customHeight="1">
      <c r="A182" s="880"/>
      <c r="B182" s="1497"/>
      <c r="C182" s="1497"/>
      <c r="D182" s="275"/>
      <c r="K182" s="1036"/>
      <c r="L182" s="1497"/>
      <c r="M182" s="1497"/>
      <c r="N182" s="1036"/>
      <c r="O182" s="1036"/>
      <c r="P182" s="1036"/>
      <c r="Q182" s="1036"/>
      <c r="R182" s="1497"/>
      <c r="S182" s="1036"/>
      <c r="T182" s="1036"/>
      <c r="U182" s="471"/>
      <c r="V182" s="1036"/>
      <c r="W182" s="1036"/>
      <c r="X182" s="1036"/>
      <c r="Y182" s="1036"/>
      <c r="Z182" s="1036"/>
      <c r="AA182" s="1493"/>
      <c r="AB182" s="493"/>
      <c r="AC182" s="493"/>
      <c r="AD182" s="493"/>
      <c r="AE182" s="493"/>
    </row>
    <row r="183" spans="1:31" s="1720" customFormat="1" ht="11.25" customHeight="1">
      <c r="A183" s="880"/>
      <c r="B183" s="1497"/>
      <c r="C183" s="1497"/>
      <c r="D183" s="275"/>
      <c r="K183" s="1036"/>
      <c r="L183" s="1497"/>
      <c r="M183" s="1497"/>
      <c r="N183" s="1036"/>
      <c r="O183" s="1036"/>
      <c r="P183" s="1036"/>
      <c r="Q183" s="1036"/>
      <c r="R183" s="1497"/>
      <c r="S183" s="1036"/>
      <c r="T183" s="1036"/>
      <c r="U183" s="471"/>
      <c r="V183" s="1036"/>
      <c r="W183" s="1036"/>
      <c r="X183" s="1036"/>
      <c r="Y183" s="1036"/>
      <c r="Z183" s="1036"/>
      <c r="AA183" s="1493"/>
      <c r="AB183" s="493"/>
      <c r="AC183" s="493"/>
      <c r="AD183" s="493"/>
      <c r="AE183" s="493"/>
    </row>
    <row r="184" spans="1:31" s="1720" customFormat="1" ht="11.25" customHeight="1">
      <c r="A184" s="880"/>
      <c r="B184" s="1497"/>
      <c r="C184" s="1497"/>
      <c r="D184" s="275"/>
      <c r="K184" s="1036"/>
      <c r="L184" s="1497"/>
      <c r="M184" s="1497"/>
      <c r="N184" s="1036"/>
      <c r="O184" s="1036"/>
      <c r="P184" s="1036"/>
      <c r="Q184" s="1036"/>
      <c r="R184" s="1497"/>
      <c r="S184" s="1036"/>
      <c r="T184" s="1036"/>
      <c r="U184" s="471"/>
      <c r="V184" s="1036"/>
      <c r="W184" s="1036"/>
      <c r="X184" s="1036"/>
      <c r="Y184" s="1036"/>
      <c r="Z184" s="1036"/>
      <c r="AA184" s="1493"/>
      <c r="AB184" s="493"/>
      <c r="AC184" s="493"/>
      <c r="AD184" s="493"/>
      <c r="AE184" s="493"/>
    </row>
    <row r="185" spans="1:31" s="1720" customFormat="1" ht="11.25" customHeight="1">
      <c r="A185" s="880"/>
      <c r="B185" s="1497"/>
      <c r="C185" s="1497"/>
      <c r="D185" s="275"/>
      <c r="K185" s="1036"/>
      <c r="L185" s="1497"/>
      <c r="M185" s="1497"/>
      <c r="N185" s="1036"/>
      <c r="O185" s="1036"/>
      <c r="P185" s="1036"/>
      <c r="Q185" s="1036"/>
      <c r="R185" s="1497"/>
      <c r="S185" s="1036"/>
      <c r="T185" s="1036"/>
      <c r="U185" s="471"/>
      <c r="V185" s="1036"/>
      <c r="W185" s="1036"/>
      <c r="X185" s="1036"/>
      <c r="Y185" s="1036"/>
      <c r="Z185" s="1036"/>
      <c r="AA185" s="1493"/>
      <c r="AB185" s="493"/>
      <c r="AC185" s="493"/>
      <c r="AD185" s="493"/>
      <c r="AE185" s="493"/>
    </row>
    <row r="186" spans="1:31" s="1720" customFormat="1" ht="11.25" customHeight="1">
      <c r="A186" s="880"/>
      <c r="B186" s="1497"/>
      <c r="C186" s="1497"/>
      <c r="D186" s="275"/>
      <c r="K186" s="1036"/>
      <c r="L186" s="1497"/>
      <c r="M186" s="1497"/>
      <c r="N186" s="1036"/>
      <c r="O186" s="1036"/>
      <c r="P186" s="1036"/>
      <c r="Q186" s="1036"/>
      <c r="R186" s="1497"/>
      <c r="S186" s="1036"/>
      <c r="T186" s="1036"/>
      <c r="U186" s="471"/>
      <c r="V186" s="1036"/>
      <c r="W186" s="1036"/>
      <c r="X186" s="1036"/>
      <c r="Y186" s="1036"/>
      <c r="Z186" s="1036"/>
      <c r="AA186" s="1493"/>
      <c r="AB186" s="493"/>
      <c r="AC186" s="493"/>
      <c r="AD186" s="493"/>
      <c r="AE186" s="493"/>
    </row>
    <row r="187" spans="1:31" s="1720" customFormat="1" ht="11.25" customHeight="1">
      <c r="A187" s="880"/>
      <c r="B187" s="1497"/>
      <c r="C187" s="1497"/>
      <c r="D187" s="275"/>
      <c r="K187" s="1036"/>
      <c r="L187" s="1497"/>
      <c r="M187" s="1497"/>
      <c r="N187" s="1036"/>
      <c r="O187" s="1036"/>
      <c r="P187" s="1036"/>
      <c r="Q187" s="1036"/>
      <c r="R187" s="1497"/>
      <c r="S187" s="1036"/>
      <c r="T187" s="1036"/>
      <c r="U187" s="471"/>
      <c r="V187" s="1036"/>
      <c r="W187" s="1036"/>
      <c r="X187" s="1036"/>
      <c r="Y187" s="1036"/>
      <c r="Z187" s="1036"/>
      <c r="AA187" s="1493"/>
      <c r="AB187" s="493"/>
      <c r="AC187" s="493"/>
      <c r="AD187" s="493"/>
      <c r="AE187" s="493"/>
    </row>
    <row r="188" spans="1:31" s="1720" customFormat="1" ht="11.25" customHeight="1">
      <c r="A188" s="880"/>
      <c r="B188" s="1497"/>
      <c r="C188" s="1497"/>
      <c r="D188" s="275"/>
      <c r="K188" s="1036"/>
      <c r="L188" s="1497"/>
      <c r="M188" s="1497"/>
      <c r="N188" s="1036"/>
      <c r="O188" s="1036"/>
      <c r="P188" s="1036"/>
      <c r="Q188" s="1036"/>
      <c r="R188" s="1497"/>
      <c r="S188" s="1036"/>
      <c r="T188" s="1036"/>
      <c r="U188" s="471"/>
      <c r="V188" s="1036"/>
      <c r="W188" s="1036"/>
      <c r="X188" s="1036"/>
      <c r="Y188" s="1036"/>
      <c r="Z188" s="1036"/>
      <c r="AA188" s="1493"/>
      <c r="AB188" s="493"/>
      <c r="AC188" s="493"/>
      <c r="AD188" s="493"/>
      <c r="AE188" s="493"/>
    </row>
    <row r="189" spans="1:31" s="1720" customFormat="1" ht="11.25" customHeight="1">
      <c r="A189" s="880"/>
      <c r="B189" s="1497"/>
      <c r="C189" s="1497"/>
      <c r="D189" s="275"/>
      <c r="K189" s="1036"/>
      <c r="L189" s="1497"/>
      <c r="M189" s="1497"/>
      <c r="N189" s="1036"/>
      <c r="O189" s="1036"/>
      <c r="P189" s="1036"/>
      <c r="Q189" s="1036"/>
      <c r="R189" s="1497"/>
      <c r="S189" s="1036"/>
      <c r="T189" s="1036"/>
      <c r="U189" s="471"/>
      <c r="V189" s="1036"/>
      <c r="W189" s="1036"/>
      <c r="X189" s="1036"/>
      <c r="Y189" s="1036"/>
      <c r="Z189" s="1036"/>
      <c r="AA189" s="1493"/>
      <c r="AB189" s="493"/>
      <c r="AC189" s="493"/>
      <c r="AD189" s="493"/>
      <c r="AE189" s="493"/>
    </row>
    <row r="190" spans="1:31" s="1720" customFormat="1" ht="11.25" customHeight="1">
      <c r="A190" s="880"/>
      <c r="B190" s="1497"/>
      <c r="C190" s="1497"/>
      <c r="D190" s="275"/>
      <c r="K190" s="1036"/>
      <c r="L190" s="1497"/>
      <c r="M190" s="1497"/>
      <c r="N190" s="1036"/>
      <c r="O190" s="1036"/>
      <c r="P190" s="1036"/>
      <c r="Q190" s="1036"/>
      <c r="R190" s="1497"/>
      <c r="S190" s="1036"/>
      <c r="T190" s="1036"/>
      <c r="U190" s="471"/>
      <c r="V190" s="1036"/>
      <c r="W190" s="1036"/>
      <c r="X190" s="1036"/>
      <c r="Y190" s="1036"/>
      <c r="Z190" s="1036"/>
      <c r="AA190" s="1493"/>
      <c r="AB190" s="493"/>
      <c r="AC190" s="493"/>
      <c r="AD190" s="493"/>
      <c r="AE190" s="493"/>
    </row>
    <row r="191" spans="1:31" s="1720" customFormat="1" ht="11.25" customHeight="1">
      <c r="A191" s="880"/>
      <c r="B191" s="1497"/>
      <c r="C191" s="1497"/>
      <c r="D191" s="275"/>
      <c r="K191" s="1036"/>
      <c r="L191" s="1497"/>
      <c r="M191" s="1497"/>
      <c r="N191" s="1036"/>
      <c r="O191" s="1036"/>
      <c r="P191" s="1036"/>
      <c r="Q191" s="1036"/>
      <c r="R191" s="1497"/>
      <c r="S191" s="1036"/>
      <c r="T191" s="1036"/>
      <c r="U191" s="471"/>
      <c r="V191" s="1036"/>
      <c r="W191" s="1036"/>
      <c r="X191" s="1036"/>
      <c r="Y191" s="1036"/>
      <c r="Z191" s="1036"/>
      <c r="AA191" s="1493"/>
      <c r="AB191" s="493"/>
      <c r="AC191" s="493"/>
      <c r="AD191" s="493"/>
      <c r="AE191" s="493"/>
    </row>
    <row r="192" spans="1:31" s="1720" customFormat="1" ht="11.25" customHeight="1">
      <c r="A192" s="880"/>
      <c r="B192" s="1497"/>
      <c r="C192" s="1497"/>
      <c r="D192" s="275"/>
      <c r="K192" s="1036"/>
      <c r="L192" s="1497"/>
      <c r="M192" s="1497"/>
      <c r="N192" s="1036"/>
      <c r="O192" s="1036"/>
      <c r="P192" s="1036"/>
      <c r="Q192" s="1036"/>
      <c r="R192" s="1497"/>
      <c r="S192" s="1036"/>
      <c r="T192" s="1036"/>
      <c r="U192" s="471"/>
      <c r="V192" s="1036"/>
      <c r="W192" s="1036"/>
      <c r="X192" s="1036"/>
      <c r="Y192" s="1036"/>
      <c r="Z192" s="1036"/>
      <c r="AA192" s="1493"/>
      <c r="AB192" s="493"/>
      <c r="AC192" s="493"/>
      <c r="AD192" s="493"/>
      <c r="AE192" s="493"/>
    </row>
    <row r="193" spans="1:31" s="1720" customFormat="1" ht="11.25" customHeight="1">
      <c r="A193" s="880"/>
      <c r="B193" s="1497"/>
      <c r="C193" s="1497"/>
      <c r="D193" s="275"/>
      <c r="K193" s="1036"/>
      <c r="L193" s="1497"/>
      <c r="M193" s="1497"/>
      <c r="N193" s="1036"/>
      <c r="O193" s="1036"/>
      <c r="P193" s="1036"/>
      <c r="Q193" s="1036"/>
      <c r="R193" s="1497"/>
      <c r="S193" s="1036"/>
      <c r="T193" s="1036"/>
      <c r="U193" s="471"/>
      <c r="V193" s="1036"/>
      <c r="W193" s="1036"/>
      <c r="X193" s="1036"/>
      <c r="Y193" s="1036"/>
      <c r="Z193" s="1036"/>
      <c r="AA193" s="1493"/>
      <c r="AB193" s="493"/>
      <c r="AC193" s="493"/>
      <c r="AD193" s="493"/>
      <c r="AE193" s="493"/>
    </row>
    <row r="194" spans="1:31" s="1720" customFormat="1" ht="11.25" customHeight="1">
      <c r="A194" s="880"/>
      <c r="B194" s="1497"/>
      <c r="C194" s="1497"/>
      <c r="D194" s="275"/>
      <c r="K194" s="1036"/>
      <c r="L194" s="1497"/>
      <c r="M194" s="1497"/>
      <c r="N194" s="1036"/>
      <c r="O194" s="1036"/>
      <c r="P194" s="1036"/>
      <c r="Q194" s="1036"/>
      <c r="R194" s="1497"/>
      <c r="S194" s="1036"/>
      <c r="T194" s="1036"/>
      <c r="U194" s="471"/>
      <c r="V194" s="1036"/>
      <c r="W194" s="1036"/>
      <c r="X194" s="1036"/>
      <c r="Y194" s="1036"/>
      <c r="Z194" s="1036"/>
      <c r="AA194" s="1493"/>
      <c r="AB194" s="493"/>
      <c r="AC194" s="493"/>
      <c r="AD194" s="493"/>
      <c r="AE194" s="493"/>
    </row>
    <row r="195" spans="1:31" s="1720" customFormat="1" ht="11.25" customHeight="1">
      <c r="A195" s="880"/>
      <c r="B195" s="1497"/>
      <c r="C195" s="1497"/>
      <c r="D195" s="275"/>
      <c r="K195" s="1036"/>
      <c r="L195" s="1497"/>
      <c r="M195" s="1497"/>
      <c r="N195" s="1036"/>
      <c r="O195" s="1036"/>
      <c r="P195" s="1036"/>
      <c r="Q195" s="1036"/>
      <c r="R195" s="1497"/>
      <c r="S195" s="1036"/>
      <c r="T195" s="1036"/>
      <c r="U195" s="471"/>
      <c r="V195" s="1036"/>
      <c r="W195" s="1036"/>
      <c r="X195" s="1036"/>
      <c r="Y195" s="1036"/>
      <c r="Z195" s="1036"/>
      <c r="AA195" s="1493"/>
      <c r="AB195" s="493"/>
      <c r="AC195" s="493"/>
      <c r="AD195" s="493"/>
      <c r="AE195" s="493"/>
    </row>
    <row r="199" spans="1:31" ht="11.25" customHeight="1">
      <c r="A199" s="883"/>
      <c r="B199" s="1492"/>
      <c r="D199" s="1492"/>
      <c r="K199" s="1492"/>
      <c r="N199" s="1492"/>
      <c r="O199" s="1492"/>
      <c r="P199" s="1492"/>
      <c r="Q199" s="1492"/>
      <c r="S199" s="1492"/>
      <c r="T199" s="1492"/>
      <c r="U199" s="1492"/>
      <c r="V199" s="1492"/>
      <c r="W199" s="1492"/>
      <c r="X199" s="1492"/>
      <c r="Y199" s="1492"/>
      <c r="Z199" s="1492"/>
      <c r="AA199" s="1492"/>
      <c r="AB199" s="1492"/>
      <c r="AC199" s="1492"/>
      <c r="AD199" s="1492"/>
      <c r="AE199" s="1492"/>
    </row>
    <row r="200" spans="1:31" ht="11.25" customHeight="1">
      <c r="A200" s="883"/>
      <c r="B200" s="1492"/>
      <c r="D200" s="1492"/>
      <c r="K200" s="1492"/>
      <c r="N200" s="1492"/>
      <c r="O200" s="1492"/>
      <c r="P200" s="1492"/>
      <c r="Q200" s="1492"/>
      <c r="S200" s="1492"/>
      <c r="T200" s="1492"/>
      <c r="U200" s="1492"/>
      <c r="V200" s="1492"/>
      <c r="W200" s="1492"/>
      <c r="X200" s="1492"/>
      <c r="Y200" s="1492"/>
      <c r="Z200" s="1492"/>
      <c r="AA200" s="1492"/>
      <c r="AB200" s="1492"/>
      <c r="AC200" s="1492"/>
      <c r="AD200" s="1492"/>
      <c r="AE200" s="1492"/>
    </row>
    <row r="201" spans="1:31" ht="11.25" customHeight="1">
      <c r="A201" s="883"/>
      <c r="B201" s="1492"/>
      <c r="D201" s="1492"/>
      <c r="K201" s="1492"/>
      <c r="N201" s="1492"/>
      <c r="O201" s="1492"/>
      <c r="P201" s="1492"/>
      <c r="Q201" s="1492"/>
      <c r="S201" s="1492"/>
      <c r="T201" s="1492"/>
      <c r="U201" s="1492"/>
      <c r="V201" s="1492"/>
      <c r="W201" s="1492"/>
      <c r="X201" s="1492"/>
      <c r="Y201" s="1492"/>
      <c r="Z201" s="1492"/>
      <c r="AA201" s="1492"/>
      <c r="AB201" s="1492"/>
      <c r="AC201" s="1492"/>
      <c r="AD201" s="1492"/>
      <c r="AE201" s="1492"/>
    </row>
    <row r="202" spans="1:31" ht="11.25" customHeight="1">
      <c r="A202" s="883"/>
      <c r="B202" s="1492"/>
      <c r="D202" s="1492"/>
      <c r="K202" s="1492"/>
      <c r="N202" s="1492"/>
      <c r="O202" s="1492"/>
      <c r="P202" s="1492"/>
      <c r="Q202" s="1492"/>
      <c r="S202" s="1492"/>
      <c r="T202" s="1492"/>
      <c r="U202" s="1492"/>
      <c r="V202" s="1492"/>
      <c r="W202" s="1492"/>
      <c r="X202" s="1492"/>
      <c r="Y202" s="1492"/>
      <c r="Z202" s="1492"/>
      <c r="AA202" s="1492"/>
      <c r="AB202" s="1492"/>
      <c r="AC202" s="1492"/>
      <c r="AD202" s="1492"/>
      <c r="AE202" s="1492"/>
    </row>
    <row r="203" spans="1:31" ht="11.25" customHeight="1">
      <c r="A203" s="883"/>
      <c r="B203" s="1492"/>
      <c r="D203" s="1492"/>
      <c r="K203" s="1492"/>
      <c r="N203" s="1492"/>
      <c r="O203" s="1492"/>
      <c r="P203" s="1492"/>
      <c r="Q203" s="1492"/>
      <c r="S203" s="1492"/>
      <c r="T203" s="1492"/>
      <c r="U203" s="1492"/>
      <c r="V203" s="1492"/>
      <c r="W203" s="1492"/>
      <c r="X203" s="1492"/>
      <c r="Y203" s="1492"/>
      <c r="Z203" s="1492"/>
      <c r="AA203" s="1492"/>
      <c r="AB203" s="1492"/>
      <c r="AC203" s="1492"/>
      <c r="AD203" s="1492"/>
      <c r="AE203" s="1492"/>
    </row>
    <row r="204" spans="1:31" ht="11.25" customHeight="1">
      <c r="A204" s="883"/>
      <c r="B204" s="1492"/>
      <c r="D204" s="1492"/>
      <c r="K204" s="1492"/>
      <c r="N204" s="1492"/>
      <c r="O204" s="1492"/>
      <c r="P204" s="1492"/>
      <c r="Q204" s="1492"/>
      <c r="S204" s="1492"/>
      <c r="T204" s="1492"/>
      <c r="U204" s="1492"/>
      <c r="V204" s="1492"/>
      <c r="W204" s="1492"/>
      <c r="X204" s="1492"/>
      <c r="Y204" s="1492"/>
      <c r="Z204" s="1492"/>
      <c r="AA204" s="1492"/>
      <c r="AB204" s="1492"/>
      <c r="AC204" s="1492"/>
      <c r="AD204" s="1492"/>
      <c r="AE204" s="1492"/>
    </row>
    <row r="205" spans="1:31" ht="11.25" customHeight="1">
      <c r="A205" s="883"/>
      <c r="B205" s="1492"/>
      <c r="D205" s="1492"/>
      <c r="K205" s="1492"/>
      <c r="N205" s="1492"/>
      <c r="O205" s="1492"/>
      <c r="P205" s="1492"/>
      <c r="Q205" s="1492"/>
      <c r="S205" s="1492"/>
      <c r="T205" s="1492"/>
      <c r="U205" s="1492"/>
      <c r="V205" s="1492"/>
      <c r="W205" s="1492"/>
      <c r="X205" s="1492"/>
      <c r="Y205" s="1492"/>
      <c r="Z205" s="1492"/>
      <c r="AA205" s="1492"/>
      <c r="AB205" s="1492"/>
      <c r="AC205" s="1492"/>
      <c r="AD205" s="1492"/>
      <c r="AE205" s="1492"/>
    </row>
    <row r="206" spans="1:31" ht="11.25" customHeight="1">
      <c r="A206" s="883"/>
      <c r="B206" s="1492"/>
      <c r="D206" s="1492"/>
      <c r="K206" s="1492"/>
      <c r="N206" s="1492"/>
      <c r="O206" s="1492"/>
      <c r="P206" s="1492"/>
      <c r="Q206" s="1492"/>
      <c r="S206" s="1492"/>
      <c r="T206" s="1492"/>
      <c r="U206" s="1492"/>
      <c r="V206" s="1492"/>
      <c r="W206" s="1492"/>
      <c r="X206" s="1492"/>
      <c r="Y206" s="1492"/>
      <c r="Z206" s="1492"/>
      <c r="AA206" s="1492"/>
      <c r="AB206" s="1492"/>
      <c r="AC206" s="1492"/>
      <c r="AD206" s="1492"/>
      <c r="AE206" s="1492"/>
    </row>
    <row r="207" spans="1:31" ht="11.25" customHeight="1">
      <c r="A207" s="883"/>
      <c r="B207" s="1492"/>
      <c r="D207" s="1492"/>
      <c r="K207" s="1492"/>
      <c r="N207" s="1492"/>
      <c r="O207" s="1492"/>
      <c r="P207" s="1492"/>
      <c r="Q207" s="1492"/>
      <c r="S207" s="1492"/>
      <c r="T207" s="1492"/>
      <c r="U207" s="1492"/>
      <c r="V207" s="1492"/>
      <c r="W207" s="1492"/>
      <c r="X207" s="1492"/>
      <c r="Y207" s="1492"/>
      <c r="Z207" s="1492"/>
      <c r="AA207" s="1492"/>
      <c r="AB207" s="1492"/>
      <c r="AC207" s="1492"/>
      <c r="AD207" s="1492"/>
      <c r="AE207" s="1492"/>
    </row>
    <row r="208" spans="1:31" ht="11.25" customHeight="1">
      <c r="A208" s="883"/>
      <c r="B208" s="1492"/>
      <c r="D208" s="1492"/>
      <c r="K208" s="1492"/>
      <c r="N208" s="1492"/>
      <c r="O208" s="1492"/>
      <c r="P208" s="1492"/>
      <c r="Q208" s="1492"/>
      <c r="S208" s="1492"/>
      <c r="T208" s="1492"/>
      <c r="U208" s="1492"/>
      <c r="V208" s="1492"/>
      <c r="W208" s="1492"/>
      <c r="X208" s="1492"/>
      <c r="Y208" s="1492"/>
      <c r="Z208" s="1492"/>
      <c r="AA208" s="1492"/>
      <c r="AB208" s="1492"/>
      <c r="AC208" s="1492"/>
      <c r="AD208" s="1492"/>
      <c r="AE208" s="1492"/>
    </row>
    <row r="209" spans="1:31" ht="11.25" customHeight="1">
      <c r="A209" s="883"/>
      <c r="B209" s="1492"/>
      <c r="D209" s="1492"/>
      <c r="K209" s="1492"/>
      <c r="N209" s="1492"/>
      <c r="O209" s="1492"/>
      <c r="P209" s="1492"/>
      <c r="Q209" s="1492"/>
      <c r="S209" s="1492"/>
      <c r="T209" s="1492"/>
      <c r="U209" s="1492"/>
      <c r="V209" s="1492"/>
      <c r="W209" s="1492"/>
      <c r="X209" s="1492"/>
      <c r="Y209" s="1492"/>
      <c r="Z209" s="1492"/>
      <c r="AA209" s="1492"/>
      <c r="AB209" s="1492"/>
      <c r="AC209" s="1492"/>
      <c r="AD209" s="1492"/>
      <c r="AE209" s="1492"/>
    </row>
  </sheetData>
  <sheetProtection formatColumns="0" formatRows="0" insertRows="0" deleteColumns="0" deleteRows="0" sort="0" autoFilter="0"/>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01"/>
  <sheetViews>
    <sheetView showGridLines="0" topLeftCell="C2" zoomScale="80" workbookViewId="0">
      <selection activeCell="D3" sqref="D3:F3"/>
    </sheetView>
  </sheetViews>
  <sheetFormatPr defaultColWidth="10.5703125" defaultRowHeight="11.25" customHeight="1"/>
  <cols>
    <col min="1" max="1" width="9.140625" style="1821" hidden="1" customWidth="1"/>
    <col min="2" max="2" width="3.5703125" style="1772" hidden="1" customWidth="1"/>
    <col min="3" max="3" width="3.7109375" style="1846" customWidth="1"/>
    <col min="4" max="4" width="7.7109375" style="1846" customWidth="1"/>
    <col min="5" max="5" width="69.85546875" style="1846" customWidth="1"/>
    <col min="6" max="6" width="11.140625" style="1846" customWidth="1"/>
    <col min="7" max="8" width="44" style="1846" hidden="1" customWidth="1"/>
    <col min="9" max="10" width="44" style="1846" customWidth="1"/>
    <col min="11" max="11" width="74" style="1846" customWidth="1"/>
    <col min="12" max="12" width="3.7109375" style="1846" customWidth="1"/>
    <col min="13" max="23" width="10.5703125" style="1846"/>
  </cols>
  <sheetData>
    <row r="1" spans="1:12" s="1759" customFormat="1" ht="11.25" hidden="1" customHeight="1">
      <c r="A1" s="463"/>
      <c r="B1" s="439"/>
      <c r="G1" s="352">
        <v>4</v>
      </c>
      <c r="I1" s="352">
        <v>4</v>
      </c>
      <c r="K1" s="352">
        <v>5</v>
      </c>
    </row>
    <row r="2" spans="1:12" ht="3" customHeight="1"/>
    <row r="3" spans="1:12" ht="102" customHeight="1">
      <c r="D3" s="2014"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015"/>
      <c r="F3" s="2016"/>
    </row>
    <row r="4" spans="1:12" s="1846" customFormat="1" ht="20.25" customHeight="1">
      <c r="A4" s="846"/>
      <c r="B4" s="439"/>
      <c r="D4" s="2126" t="str">
        <f>IF(org=0,"Не определено",org)</f>
        <v>ООО "Автозаводская ТЭЦ"</v>
      </c>
      <c r="E4" s="2127"/>
      <c r="F4" s="2128"/>
    </row>
    <row r="5" spans="1:12" ht="11.25" customHeight="1">
      <c r="C5" s="437"/>
      <c r="D5" s="513"/>
      <c r="E5" s="513"/>
      <c r="F5" s="513"/>
      <c r="G5" s="513"/>
      <c r="H5" s="665"/>
      <c r="I5" s="513"/>
      <c r="J5" s="665"/>
      <c r="K5" s="513"/>
    </row>
    <row r="6" spans="1:12" ht="0.75" customHeight="1">
      <c r="C6" s="437"/>
      <c r="D6" s="437"/>
      <c r="E6" s="450"/>
      <c r="F6" s="536"/>
      <c r="G6" s="915"/>
      <c r="H6" s="915"/>
      <c r="I6" s="915" t="s">
        <v>117</v>
      </c>
      <c r="J6" s="915"/>
    </row>
    <row r="7" spans="1:12" ht="11.25" customHeight="1">
      <c r="D7" s="625"/>
      <c r="E7" s="2309" t="s">
        <v>105</v>
      </c>
      <c r="F7" s="2310"/>
      <c r="G7" s="2353" t="str">
        <f>IF(G6="","",INDEX(DIFFERENTIATION_UNMERGE_VD,MATCH(G6,DIFFERENTIATION_ID_DIFF,0)))</f>
        <v/>
      </c>
      <c r="H7" s="2354"/>
      <c r="I7" s="2353"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v>
      </c>
      <c r="J7" s="2354"/>
      <c r="K7" s="2080"/>
      <c r="L7" s="437"/>
    </row>
    <row r="8" spans="1:12" ht="11.25" customHeight="1">
      <c r="A8" s="618"/>
      <c r="D8" s="625"/>
      <c r="E8" s="2309" t="s">
        <v>1420</v>
      </c>
      <c r="F8" s="2310"/>
      <c r="G8" s="2353" t="str">
        <f>IF(G6="","",INDEX(DIFFERENTIATION_UNMERGE_AREA,MATCH(G6,DIFFERENTIATION_ID_DIFF,0)))</f>
        <v/>
      </c>
      <c r="H8" s="2354"/>
      <c r="I8" s="2353" t="str">
        <f>IF(I6="","",INDEX(DIFFERENTIATION_UNMERGE_AREA,MATCH(I6,DIFFERENTIATION_ID_DIFF,0)))</f>
        <v>Территория 1</v>
      </c>
      <c r="J8" s="2354"/>
      <c r="K8" s="2085"/>
      <c r="L8" s="437"/>
    </row>
    <row r="9" spans="1:12" ht="11.25" customHeight="1">
      <c r="A9" s="618"/>
      <c r="D9" s="625"/>
      <c r="E9" s="2309" t="s">
        <v>1421</v>
      </c>
      <c r="F9" s="2310"/>
      <c r="G9" s="2353" t="str">
        <f>IF(G6="","",INDEX(DIFFERENTIATION_UNMERGE_SYSTEM,MATCH(G6,DIFFERENTIATION_ID_DIFF,0)))</f>
        <v/>
      </c>
      <c r="H9" s="2354"/>
      <c r="I9" s="2353" t="str">
        <f>IF(I6="","",INDEX(DIFFERENTIATION_UNMERGE_SYSTEM,MATCH(I6,DIFFERENTIATION_ID_DIFF,0)))</f>
        <v>без дифференциации</v>
      </c>
      <c r="J9" s="2354"/>
      <c r="K9" s="2085"/>
      <c r="L9" s="437"/>
    </row>
    <row r="10" spans="1:12" s="1846" customFormat="1" ht="11.25" customHeight="1">
      <c r="A10" s="914"/>
      <c r="B10" s="439"/>
      <c r="D10" s="2003" t="s">
        <v>292</v>
      </c>
      <c r="E10" s="2008"/>
      <c r="F10" s="2008"/>
      <c r="G10" s="2008"/>
      <c r="H10" s="2008"/>
      <c r="I10" s="2008"/>
      <c r="J10" s="2002"/>
      <c r="K10" s="2085"/>
      <c r="L10" s="437"/>
    </row>
    <row r="11" spans="1:12" s="1846" customFormat="1" ht="22.5" customHeight="1">
      <c r="A11" s="2234"/>
      <c r="B11" s="2234"/>
      <c r="C11" s="573"/>
      <c r="D11" s="617" t="s">
        <v>88</v>
      </c>
      <c r="E11" s="619" t="s">
        <v>1851</v>
      </c>
      <c r="F11" s="619" t="s">
        <v>1599</v>
      </c>
      <c r="G11" s="394" t="s">
        <v>295</v>
      </c>
      <c r="H11" s="394" t="s">
        <v>384</v>
      </c>
      <c r="I11" s="713" t="s">
        <v>295</v>
      </c>
      <c r="J11" s="714" t="s">
        <v>384</v>
      </c>
      <c r="K11" s="2136"/>
      <c r="L11" s="574"/>
    </row>
    <row r="12" spans="1:12" s="1772" customFormat="1" ht="10.5" customHeight="1">
      <c r="A12" s="847"/>
      <c r="D12" s="918" t="s">
        <v>109</v>
      </c>
      <c r="E12" s="918" t="s">
        <v>110</v>
      </c>
      <c r="F12" s="918" t="s">
        <v>90</v>
      </c>
      <c r="G12" s="919" t="str">
        <f>G1&amp;".1"</f>
        <v>4.1</v>
      </c>
      <c r="H12" s="919" t="str">
        <f>G1&amp;".2"</f>
        <v>4.2</v>
      </c>
      <c r="I12" s="919" t="str">
        <f>I1&amp;".1"</f>
        <v>4.1</v>
      </c>
      <c r="J12" s="919" t="str">
        <f>I1&amp;".2"</f>
        <v>4.2</v>
      </c>
      <c r="K12" s="919"/>
    </row>
    <row r="13" spans="1:12" ht="22.5" customHeight="1">
      <c r="A13" s="2355" t="s">
        <v>392</v>
      </c>
      <c r="D13" s="848" t="s">
        <v>109</v>
      </c>
      <c r="E13" s="198" t="s">
        <v>1600</v>
      </c>
      <c r="F13" s="576" t="s">
        <v>1601</v>
      </c>
      <c r="G13" s="484"/>
      <c r="H13" s="577"/>
      <c r="I13" s="484">
        <v>0</v>
      </c>
      <c r="J13" s="577"/>
      <c r="K13" s="207" t="s">
        <v>1602</v>
      </c>
      <c r="L13" s="634"/>
    </row>
    <row r="14" spans="1:12" ht="22.5" customHeight="1">
      <c r="A14" s="2355"/>
      <c r="D14" s="466" t="s">
        <v>110</v>
      </c>
      <c r="E14" s="198" t="s">
        <v>1603</v>
      </c>
      <c r="F14" s="576" t="s">
        <v>1604</v>
      </c>
      <c r="G14" s="484"/>
      <c r="H14" s="578"/>
      <c r="I14" s="484">
        <v>0</v>
      </c>
      <c r="J14" s="578"/>
      <c r="K14" s="207" t="s">
        <v>1605</v>
      </c>
      <c r="L14" s="634"/>
    </row>
    <row r="15" spans="1:12" s="1846" customFormat="1" ht="78.75" customHeight="1">
      <c r="A15" s="2355"/>
      <c r="B15" s="439"/>
      <c r="D15" s="848" t="s">
        <v>90</v>
      </c>
      <c r="E15" s="621" t="s">
        <v>1608</v>
      </c>
      <c r="F15" s="845" t="s">
        <v>298</v>
      </c>
      <c r="G15" s="845" t="s">
        <v>298</v>
      </c>
      <c r="H15" s="42"/>
      <c r="I15" s="845" t="s">
        <v>298</v>
      </c>
      <c r="J15" s="42"/>
      <c r="K15" s="207" t="s">
        <v>1852</v>
      </c>
      <c r="L15" s="634"/>
    </row>
    <row r="16" spans="1:12" s="1846" customFormat="1" ht="22.5" customHeight="1">
      <c r="A16" s="2355"/>
      <c r="B16" s="439"/>
      <c r="D16" s="848" t="s">
        <v>318</v>
      </c>
      <c r="E16" s="849" t="s">
        <v>1610</v>
      </c>
      <c r="F16" s="845" t="s">
        <v>1611</v>
      </c>
      <c r="G16" s="722"/>
      <c r="H16" s="42"/>
      <c r="I16" s="722"/>
      <c r="J16" s="42"/>
      <c r="K16" s="207"/>
      <c r="L16" s="634"/>
    </row>
    <row r="17" spans="1:23" s="1846" customFormat="1" ht="22.5" customHeight="1">
      <c r="A17" s="2355"/>
      <c r="B17" s="439"/>
      <c r="D17" s="848" t="s">
        <v>326</v>
      </c>
      <c r="E17" s="849" t="s">
        <v>1612</v>
      </c>
      <c r="F17" s="845" t="s">
        <v>1613</v>
      </c>
      <c r="G17" s="722"/>
      <c r="H17" s="42"/>
      <c r="I17" s="722"/>
      <c r="J17" s="42"/>
      <c r="K17" s="207"/>
      <c r="L17" s="634"/>
    </row>
    <row r="18" spans="1:23" s="1846" customFormat="1" ht="33.75" customHeight="1">
      <c r="A18" s="2355"/>
      <c r="B18" s="439"/>
      <c r="D18" s="848" t="s">
        <v>328</v>
      </c>
      <c r="E18" s="849" t="s">
        <v>1615</v>
      </c>
      <c r="F18" s="845" t="s">
        <v>1616</v>
      </c>
      <c r="G18" s="596"/>
      <c r="H18" s="42"/>
      <c r="I18" s="596"/>
      <c r="J18" s="42"/>
      <c r="K18" s="207"/>
      <c r="L18" s="634"/>
    </row>
    <row r="19" spans="1:23" ht="101.25" customHeight="1">
      <c r="A19" s="2355"/>
      <c r="D19" s="848" t="s">
        <v>91</v>
      </c>
      <c r="E19" s="198" t="s">
        <v>1853</v>
      </c>
      <c r="F19" s="576" t="s">
        <v>1432</v>
      </c>
      <c r="G19" s="579"/>
      <c r="H19" s="578"/>
      <c r="I19" s="1756" t="s">
        <v>1854</v>
      </c>
      <c r="J19" s="578"/>
      <c r="K19" s="207" t="s">
        <v>1855</v>
      </c>
      <c r="L19" s="634"/>
    </row>
    <row r="20" spans="1:23" s="1846" customFormat="1" ht="18.75" customHeight="1">
      <c r="A20" s="2355"/>
      <c r="C20" s="850"/>
      <c r="D20" s="848" t="s">
        <v>613</v>
      </c>
      <c r="E20" s="849" t="s">
        <v>1856</v>
      </c>
      <c r="F20" s="845" t="s">
        <v>298</v>
      </c>
      <c r="G20" s="845" t="s">
        <v>298</v>
      </c>
      <c r="H20" s="844" t="s">
        <v>298</v>
      </c>
      <c r="I20" s="845" t="s">
        <v>298</v>
      </c>
      <c r="J20" s="844" t="s">
        <v>298</v>
      </c>
      <c r="K20" s="843"/>
      <c r="L20" s="634"/>
      <c r="W20" s="591"/>
    </row>
    <row r="21" spans="1:23" s="1846" customFormat="1" ht="33.75" customHeight="1">
      <c r="A21" s="2355"/>
      <c r="C21" s="850"/>
      <c r="D21" s="848" t="s">
        <v>622</v>
      </c>
      <c r="E21" s="503" t="s">
        <v>1857</v>
      </c>
      <c r="F21" s="845" t="s">
        <v>1858</v>
      </c>
      <c r="G21" s="840"/>
      <c r="H21" s="42"/>
      <c r="I21" s="840"/>
      <c r="J21" s="42"/>
      <c r="K21" s="843"/>
      <c r="L21" s="634"/>
      <c r="W21" s="591"/>
    </row>
    <row r="22" spans="1:23" s="1846" customFormat="1" ht="33.75" customHeight="1">
      <c r="A22" s="2355"/>
      <c r="C22" s="850"/>
      <c r="D22" s="848" t="s">
        <v>628</v>
      </c>
      <c r="E22" s="503" t="s">
        <v>1859</v>
      </c>
      <c r="F22" s="845" t="s">
        <v>1860</v>
      </c>
      <c r="G22" s="840"/>
      <c r="H22" s="42"/>
      <c r="I22" s="840"/>
      <c r="J22" s="42"/>
      <c r="K22" s="843"/>
      <c r="L22" s="634"/>
      <c r="W22" s="591"/>
    </row>
    <row r="23" spans="1:23" s="1846" customFormat="1" ht="22.5" customHeight="1">
      <c r="A23" s="2355"/>
      <c r="C23" s="850"/>
      <c r="D23" s="848" t="s">
        <v>632</v>
      </c>
      <c r="E23" s="849" t="s">
        <v>1861</v>
      </c>
      <c r="F23" s="845" t="s">
        <v>298</v>
      </c>
      <c r="G23" s="845" t="s">
        <v>298</v>
      </c>
      <c r="H23" s="844" t="s">
        <v>298</v>
      </c>
      <c r="I23" s="845" t="s">
        <v>298</v>
      </c>
      <c r="J23" s="844" t="s">
        <v>298</v>
      </c>
      <c r="K23" s="843"/>
      <c r="L23" s="634"/>
      <c r="W23" s="591"/>
    </row>
    <row r="24" spans="1:23" s="1846" customFormat="1" ht="22.5" customHeight="1">
      <c r="A24" s="2355"/>
      <c r="C24" s="850"/>
      <c r="D24" s="848" t="s">
        <v>1862</v>
      </c>
      <c r="E24" s="503" t="s">
        <v>1863</v>
      </c>
      <c r="F24" s="845" t="s">
        <v>1864</v>
      </c>
      <c r="G24" s="840"/>
      <c r="H24" s="601"/>
      <c r="I24" s="840"/>
      <c r="J24" s="601"/>
      <c r="K24" s="843"/>
      <c r="L24" s="634"/>
      <c r="W24" s="591"/>
    </row>
    <row r="25" spans="1:23" s="1846" customFormat="1" ht="22.5" customHeight="1">
      <c r="A25" s="2355"/>
      <c r="C25" s="850"/>
      <c r="D25" s="848" t="s">
        <v>1865</v>
      </c>
      <c r="E25" s="503" t="s">
        <v>1866</v>
      </c>
      <c r="F25" s="845" t="s">
        <v>298</v>
      </c>
      <c r="G25" s="845" t="s">
        <v>298</v>
      </c>
      <c r="H25" s="844" t="s">
        <v>298</v>
      </c>
      <c r="I25" s="845" t="s">
        <v>298</v>
      </c>
      <c r="J25" s="844" t="s">
        <v>298</v>
      </c>
      <c r="K25" s="843"/>
      <c r="L25" s="634"/>
      <c r="W25" s="591"/>
    </row>
    <row r="26" spans="1:23" s="1846" customFormat="1" ht="18.75" customHeight="1">
      <c r="A26" s="2355"/>
      <c r="C26" s="850"/>
      <c r="D26" s="848" t="s">
        <v>1867</v>
      </c>
      <c r="E26" s="480" t="s">
        <v>1868</v>
      </c>
      <c r="F26" s="845" t="s">
        <v>1869</v>
      </c>
      <c r="G26" s="596"/>
      <c r="H26" s="601"/>
      <c r="I26" s="596"/>
      <c r="J26" s="601"/>
      <c r="K26" s="843"/>
      <c r="L26" s="634"/>
      <c r="W26" s="591"/>
    </row>
    <row r="27" spans="1:23" s="1846" customFormat="1" ht="18.75" customHeight="1">
      <c r="A27" s="2355"/>
      <c r="C27" s="850"/>
      <c r="D27" s="848" t="s">
        <v>1870</v>
      </c>
      <c r="E27" s="480" t="s">
        <v>1871</v>
      </c>
      <c r="F27" s="845" t="s">
        <v>1872</v>
      </c>
      <c r="G27" s="596"/>
      <c r="H27" s="601"/>
      <c r="I27" s="596"/>
      <c r="J27" s="601"/>
      <c r="K27" s="843"/>
      <c r="L27" s="634"/>
      <c r="W27" s="591"/>
    </row>
    <row r="28" spans="1:23" s="1846" customFormat="1" ht="18.75" customHeight="1">
      <c r="A28" s="2355"/>
      <c r="C28" s="850"/>
      <c r="D28" s="848" t="s">
        <v>1873</v>
      </c>
      <c r="E28" s="503" t="s">
        <v>1874</v>
      </c>
      <c r="F28" s="845" t="s">
        <v>298</v>
      </c>
      <c r="G28" s="845" t="s">
        <v>298</v>
      </c>
      <c r="H28" s="844" t="s">
        <v>298</v>
      </c>
      <c r="I28" s="845" t="s">
        <v>298</v>
      </c>
      <c r="J28" s="844" t="s">
        <v>298</v>
      </c>
      <c r="K28" s="843"/>
      <c r="L28" s="634"/>
      <c r="W28" s="591"/>
    </row>
    <row r="29" spans="1:23" s="1846" customFormat="1" ht="18.75" customHeight="1">
      <c r="A29" s="2355"/>
      <c r="C29" s="850"/>
      <c r="D29" s="848" t="s">
        <v>1875</v>
      </c>
      <c r="E29" s="480" t="s">
        <v>1868</v>
      </c>
      <c r="F29" s="845" t="s">
        <v>1876</v>
      </c>
      <c r="G29" s="596"/>
      <c r="H29" s="601"/>
      <c r="I29" s="596"/>
      <c r="J29" s="601"/>
      <c r="K29" s="843"/>
      <c r="L29" s="634"/>
      <c r="W29" s="591"/>
    </row>
    <row r="30" spans="1:23" s="1846" customFormat="1" ht="18.75" customHeight="1">
      <c r="A30" s="2355"/>
      <c r="C30" s="850"/>
      <c r="D30" s="848" t="s">
        <v>1877</v>
      </c>
      <c r="E30" s="480" t="s">
        <v>1878</v>
      </c>
      <c r="F30" s="845" t="s">
        <v>1879</v>
      </c>
      <c r="G30" s="596"/>
      <c r="H30" s="601"/>
      <c r="I30" s="596"/>
      <c r="J30" s="601"/>
      <c r="K30" s="843"/>
      <c r="L30" s="634"/>
      <c r="W30" s="591"/>
    </row>
    <row r="31" spans="1:23" ht="126.75" customHeight="1">
      <c r="A31" s="2355"/>
      <c r="D31" s="848" t="s">
        <v>111</v>
      </c>
      <c r="E31" s="198" t="s">
        <v>1880</v>
      </c>
      <c r="F31" s="576" t="s">
        <v>1618</v>
      </c>
      <c r="G31" s="484"/>
      <c r="H31" s="578"/>
      <c r="I31" s="484">
        <v>0</v>
      </c>
      <c r="J31" s="578"/>
      <c r="K31" s="207" t="s">
        <v>1881</v>
      </c>
      <c r="L31" s="634"/>
    </row>
    <row r="32" spans="1:23" ht="56.25" customHeight="1">
      <c r="A32" s="2355"/>
      <c r="D32" s="848" t="s">
        <v>92</v>
      </c>
      <c r="E32" s="198" t="s">
        <v>1882</v>
      </c>
      <c r="F32" s="466" t="s">
        <v>1613</v>
      </c>
      <c r="G32" s="484"/>
      <c r="H32" s="578"/>
      <c r="I32" s="484">
        <v>0</v>
      </c>
      <c r="J32" s="578"/>
      <c r="K32" s="207" t="s">
        <v>1883</v>
      </c>
      <c r="L32" s="634"/>
    </row>
    <row r="33" spans="1:11" ht="11.25" customHeight="1">
      <c r="A33" s="2355"/>
      <c r="E33" s="580"/>
      <c r="F33" s="109"/>
      <c r="G33" s="109"/>
      <c r="H33" s="109"/>
      <c r="I33" s="109"/>
      <c r="J33" s="109"/>
      <c r="K33" s="109"/>
    </row>
    <row r="34" spans="1:11" ht="12.75" customHeight="1">
      <c r="A34" s="2355"/>
      <c r="D34" s="6">
        <v>1</v>
      </c>
      <c r="E34" s="260" t="s">
        <v>1884</v>
      </c>
    </row>
    <row r="35" spans="1:11" ht="11.25" customHeight="1">
      <c r="A35" s="2355"/>
      <c r="D35" s="296"/>
      <c r="E35" s="260" t="s">
        <v>1885</v>
      </c>
    </row>
    <row r="36" spans="1:11" s="1846" customFormat="1" ht="11.25" customHeight="1">
      <c r="A36" s="926"/>
      <c r="B36" s="446"/>
      <c r="D36" s="927"/>
      <c r="E36" s="928"/>
    </row>
    <row r="37" spans="1:11" s="1846" customFormat="1" ht="22.5" hidden="1" customHeight="1">
      <c r="A37" s="2355" t="s">
        <v>393</v>
      </c>
      <c r="B37" s="439"/>
      <c r="D37" s="848">
        <v>1</v>
      </c>
      <c r="E37" s="621" t="s">
        <v>1886</v>
      </c>
      <c r="F37" s="576" t="s">
        <v>1601</v>
      </c>
      <c r="G37" s="484"/>
      <c r="H37" s="447"/>
      <c r="I37" s="484"/>
      <c r="J37" s="447"/>
      <c r="K37" s="207" t="s">
        <v>1887</v>
      </c>
    </row>
    <row r="38" spans="1:11" s="1846" customFormat="1" ht="22.5" hidden="1" customHeight="1">
      <c r="A38" s="2355"/>
      <c r="B38" s="439"/>
      <c r="D38" s="585" t="s">
        <v>110</v>
      </c>
      <c r="E38" s="925" t="s">
        <v>1888</v>
      </c>
      <c r="F38" s="929" t="s">
        <v>1432</v>
      </c>
      <c r="G38" s="929" t="s">
        <v>1432</v>
      </c>
      <c r="H38" s="923"/>
      <c r="I38" s="929" t="s">
        <v>1432</v>
      </c>
      <c r="J38" s="923"/>
      <c r="K38" s="924"/>
    </row>
    <row r="39" spans="1:11" s="1846" customFormat="1" ht="33.75" hidden="1" customHeight="1">
      <c r="A39" s="2355"/>
      <c r="B39" s="439"/>
      <c r="D39" s="581" t="s">
        <v>1457</v>
      </c>
      <c r="E39" s="638" t="s">
        <v>1889</v>
      </c>
      <c r="F39" s="576" t="s">
        <v>1890</v>
      </c>
      <c r="G39" s="584"/>
      <c r="H39" s="916"/>
      <c r="I39" s="584"/>
      <c r="J39" s="916"/>
      <c r="K39" s="207" t="s">
        <v>1891</v>
      </c>
    </row>
    <row r="40" spans="1:11" s="1846" customFormat="1" ht="33.75" hidden="1" customHeight="1">
      <c r="A40" s="2355"/>
      <c r="B40" s="439"/>
      <c r="D40" s="581" t="s">
        <v>1782</v>
      </c>
      <c r="E40" s="638" t="s">
        <v>1892</v>
      </c>
      <c r="F40" s="920" t="s">
        <v>1893</v>
      </c>
      <c r="G40" s="655"/>
      <c r="H40" s="916"/>
      <c r="I40" s="655"/>
      <c r="J40" s="916"/>
      <c r="K40" s="207" t="s">
        <v>1894</v>
      </c>
    </row>
    <row r="41" spans="1:11" s="1846" customFormat="1" ht="22.5" hidden="1" customHeight="1">
      <c r="A41" s="2355"/>
      <c r="B41" s="439"/>
      <c r="D41" s="581" t="s">
        <v>90</v>
      </c>
      <c r="E41" s="637" t="s">
        <v>1895</v>
      </c>
      <c r="F41" s="576" t="s">
        <v>1432</v>
      </c>
      <c r="G41" s="576" t="s">
        <v>1432</v>
      </c>
      <c r="H41" s="917"/>
      <c r="I41" s="576" t="s">
        <v>1432</v>
      </c>
      <c r="J41" s="917"/>
      <c r="K41" s="220"/>
    </row>
    <row r="42" spans="1:11" s="1846" customFormat="1" ht="45" hidden="1" customHeight="1">
      <c r="A42" s="2355"/>
      <c r="B42" s="439"/>
      <c r="D42" s="581" t="s">
        <v>318</v>
      </c>
      <c r="E42" s="638" t="s">
        <v>1896</v>
      </c>
      <c r="F42" s="576" t="s">
        <v>1618</v>
      </c>
      <c r="G42" s="484"/>
      <c r="H42" s="917"/>
      <c r="I42" s="484"/>
      <c r="J42" s="917"/>
      <c r="K42" s="220" t="s">
        <v>1897</v>
      </c>
    </row>
    <row r="43" spans="1:11" s="1846" customFormat="1" ht="45" hidden="1" customHeight="1">
      <c r="A43" s="2355"/>
      <c r="B43" s="439"/>
      <c r="D43" s="581" t="s">
        <v>326</v>
      </c>
      <c r="E43" s="583" t="s">
        <v>1898</v>
      </c>
      <c r="F43" s="921" t="s">
        <v>1618</v>
      </c>
      <c r="G43" s="656"/>
      <c r="H43" s="916"/>
      <c r="I43" s="656"/>
      <c r="J43" s="916"/>
      <c r="K43" s="220" t="s">
        <v>1899</v>
      </c>
    </row>
    <row r="44" spans="1:11" s="1846" customFormat="1" ht="11.25" hidden="1" customHeight="1">
      <c r="A44" s="2355"/>
      <c r="B44" s="439"/>
      <c r="D44" s="581" t="s">
        <v>91</v>
      </c>
      <c r="E44" s="582" t="s">
        <v>1900</v>
      </c>
      <c r="F44" s="576" t="s">
        <v>1890</v>
      </c>
      <c r="G44" s="584"/>
      <c r="H44" s="916"/>
      <c r="I44" s="584"/>
      <c r="J44" s="916"/>
      <c r="K44" s="207"/>
    </row>
    <row r="45" spans="1:11" s="1846" customFormat="1" ht="11.25" hidden="1" customHeight="1">
      <c r="A45" s="2355"/>
      <c r="B45" s="439"/>
      <c r="D45" s="581" t="s">
        <v>613</v>
      </c>
      <c r="E45" s="583" t="s">
        <v>1901</v>
      </c>
      <c r="F45" s="576" t="s">
        <v>1890</v>
      </c>
      <c r="G45" s="584"/>
      <c r="H45" s="916"/>
      <c r="I45" s="584"/>
      <c r="J45" s="916"/>
      <c r="K45" s="207"/>
    </row>
    <row r="46" spans="1:11" s="1846" customFormat="1" ht="11.25" hidden="1" customHeight="1">
      <c r="A46" s="2355"/>
      <c r="B46" s="439"/>
      <c r="D46" s="581" t="s">
        <v>632</v>
      </c>
      <c r="E46" s="583" t="s">
        <v>1902</v>
      </c>
      <c r="F46" s="576" t="s">
        <v>1890</v>
      </c>
      <c r="G46" s="584"/>
      <c r="H46" s="916"/>
      <c r="I46" s="584"/>
      <c r="J46" s="916"/>
      <c r="K46" s="207"/>
    </row>
    <row r="47" spans="1:11" s="1846" customFormat="1" ht="11.25" hidden="1" customHeight="1">
      <c r="A47" s="2355"/>
      <c r="B47" s="439"/>
      <c r="D47" s="581" t="s">
        <v>1614</v>
      </c>
      <c r="E47" s="583" t="s">
        <v>1903</v>
      </c>
      <c r="F47" s="576" t="s">
        <v>1890</v>
      </c>
      <c r="G47" s="584"/>
      <c r="H47" s="916"/>
      <c r="I47" s="584"/>
      <c r="J47" s="916"/>
      <c r="K47" s="207"/>
    </row>
    <row r="48" spans="1:11" s="1846" customFormat="1" ht="11.25" hidden="1" customHeight="1">
      <c r="A48" s="2355"/>
      <c r="B48" s="439"/>
      <c r="D48" s="581" t="s">
        <v>1904</v>
      </c>
      <c r="E48" s="587" t="s">
        <v>1905</v>
      </c>
      <c r="F48" s="576" t="s">
        <v>1890</v>
      </c>
      <c r="G48" s="584"/>
      <c r="H48" s="916"/>
      <c r="I48" s="584"/>
      <c r="J48" s="916"/>
      <c r="K48" s="207"/>
    </row>
    <row r="49" spans="1:11" s="1846" customFormat="1" ht="11.25" hidden="1" customHeight="1">
      <c r="A49" s="2355"/>
      <c r="B49" s="439"/>
      <c r="D49" s="581" t="s">
        <v>1906</v>
      </c>
      <c r="E49" s="587" t="s">
        <v>1907</v>
      </c>
      <c r="F49" s="576" t="s">
        <v>1890</v>
      </c>
      <c r="G49" s="584"/>
      <c r="H49" s="916"/>
      <c r="I49" s="584"/>
      <c r="J49" s="916"/>
      <c r="K49" s="207"/>
    </row>
    <row r="50" spans="1:11" s="1846" customFormat="1" ht="11.25" hidden="1" customHeight="1">
      <c r="A50" s="2355"/>
      <c r="B50" s="439"/>
      <c r="D50" s="581" t="s">
        <v>1908</v>
      </c>
      <c r="E50" s="583" t="s">
        <v>1909</v>
      </c>
      <c r="F50" s="576" t="s">
        <v>1890</v>
      </c>
      <c r="G50" s="584"/>
      <c r="H50" s="916"/>
      <c r="I50" s="584"/>
      <c r="J50" s="916"/>
      <c r="K50" s="207"/>
    </row>
    <row r="51" spans="1:11" s="1846" customFormat="1" ht="11.25" hidden="1" customHeight="1">
      <c r="A51" s="2355"/>
      <c r="B51" s="439"/>
      <c r="D51" s="581" t="s">
        <v>1910</v>
      </c>
      <c r="E51" s="583" t="s">
        <v>1911</v>
      </c>
      <c r="F51" s="576" t="s">
        <v>1890</v>
      </c>
      <c r="G51" s="584"/>
      <c r="H51" s="916"/>
      <c r="I51" s="584"/>
      <c r="J51" s="916"/>
      <c r="K51" s="207"/>
    </row>
    <row r="52" spans="1:11" s="1846" customFormat="1" ht="45" hidden="1" customHeight="1">
      <c r="A52" s="2355"/>
      <c r="B52" s="439"/>
      <c r="D52" s="581" t="s">
        <v>111</v>
      </c>
      <c r="E52" s="582" t="s">
        <v>1912</v>
      </c>
      <c r="F52" s="576" t="s">
        <v>1890</v>
      </c>
      <c r="G52" s="584"/>
      <c r="H52" s="916"/>
      <c r="I52" s="584"/>
      <c r="J52" s="916"/>
      <c r="K52" s="207"/>
    </row>
    <row r="53" spans="1:11" s="1846" customFormat="1" ht="11.25" hidden="1" customHeight="1">
      <c r="A53" s="2355"/>
      <c r="B53" s="439"/>
      <c r="D53" s="581" t="s">
        <v>307</v>
      </c>
      <c r="E53" s="583" t="s">
        <v>1901</v>
      </c>
      <c r="F53" s="576" t="s">
        <v>1890</v>
      </c>
      <c r="G53" s="584"/>
      <c r="H53" s="916"/>
      <c r="I53" s="584"/>
      <c r="J53" s="916"/>
      <c r="K53" s="207"/>
    </row>
    <row r="54" spans="1:11" s="1846" customFormat="1" ht="11.25" hidden="1" customHeight="1">
      <c r="A54" s="2355"/>
      <c r="B54" s="439"/>
      <c r="D54" s="581" t="s">
        <v>309</v>
      </c>
      <c r="E54" s="583" t="s">
        <v>1902</v>
      </c>
      <c r="F54" s="576" t="s">
        <v>1890</v>
      </c>
      <c r="G54" s="584"/>
      <c r="H54" s="916"/>
      <c r="I54" s="584"/>
      <c r="J54" s="916"/>
      <c r="K54" s="207"/>
    </row>
    <row r="55" spans="1:11" s="1846" customFormat="1" ht="11.25" hidden="1" customHeight="1">
      <c r="A55" s="2355"/>
      <c r="B55" s="439"/>
      <c r="D55" s="581" t="s">
        <v>312</v>
      </c>
      <c r="E55" s="583" t="s">
        <v>1903</v>
      </c>
      <c r="F55" s="576" t="s">
        <v>1890</v>
      </c>
      <c r="G55" s="584"/>
      <c r="H55" s="916"/>
      <c r="I55" s="584"/>
      <c r="J55" s="916"/>
      <c r="K55" s="207"/>
    </row>
    <row r="56" spans="1:11" s="1846" customFormat="1" ht="11.25" hidden="1" customHeight="1">
      <c r="A56" s="2355"/>
      <c r="B56" s="439"/>
      <c r="D56" s="581" t="s">
        <v>1594</v>
      </c>
      <c r="E56" s="587" t="s">
        <v>1905</v>
      </c>
      <c r="F56" s="576" t="s">
        <v>1890</v>
      </c>
      <c r="G56" s="584"/>
      <c r="H56" s="916"/>
      <c r="I56" s="584"/>
      <c r="J56" s="916"/>
      <c r="K56" s="207"/>
    </row>
    <row r="57" spans="1:11" s="1846" customFormat="1" ht="11.25" hidden="1" customHeight="1">
      <c r="A57" s="2355"/>
      <c r="B57" s="439"/>
      <c r="D57" s="581" t="s">
        <v>1913</v>
      </c>
      <c r="E57" s="587" t="s">
        <v>1907</v>
      </c>
      <c r="F57" s="576" t="s">
        <v>1890</v>
      </c>
      <c r="G57" s="584"/>
      <c r="H57" s="916"/>
      <c r="I57" s="584"/>
      <c r="J57" s="916"/>
      <c r="K57" s="207"/>
    </row>
    <row r="58" spans="1:11" s="1846" customFormat="1" ht="11.25" hidden="1" customHeight="1">
      <c r="A58" s="2355"/>
      <c r="B58" s="439"/>
      <c r="D58" s="581" t="s">
        <v>314</v>
      </c>
      <c r="E58" s="583" t="s">
        <v>1909</v>
      </c>
      <c r="F58" s="576" t="s">
        <v>1890</v>
      </c>
      <c r="G58" s="584"/>
      <c r="H58" s="916"/>
      <c r="I58" s="584"/>
      <c r="J58" s="916"/>
      <c r="K58" s="207"/>
    </row>
    <row r="59" spans="1:11" s="1846" customFormat="1" ht="11.25" hidden="1" customHeight="1">
      <c r="A59" s="2355"/>
      <c r="B59" s="439"/>
      <c r="D59" s="581" t="s">
        <v>1914</v>
      </c>
      <c r="E59" s="583" t="s">
        <v>1911</v>
      </c>
      <c r="F59" s="576" t="s">
        <v>1890</v>
      </c>
      <c r="G59" s="584"/>
      <c r="H59" s="916"/>
      <c r="I59" s="584"/>
      <c r="J59" s="916"/>
      <c r="K59" s="207"/>
    </row>
    <row r="60" spans="1:11" s="1846" customFormat="1" ht="33.75" hidden="1" customHeight="1">
      <c r="A60" s="2355"/>
      <c r="B60" s="439"/>
      <c r="D60" s="581" t="s">
        <v>92</v>
      </c>
      <c r="E60" s="582" t="s">
        <v>1915</v>
      </c>
      <c r="F60" s="636" t="s">
        <v>1618</v>
      </c>
      <c r="G60" s="656"/>
      <c r="H60" s="916"/>
      <c r="I60" s="656"/>
      <c r="J60" s="916"/>
      <c r="K60" s="220" t="s">
        <v>1916</v>
      </c>
    </row>
    <row r="61" spans="1:11" s="1846" customFormat="1" ht="33.75" hidden="1" customHeight="1">
      <c r="A61" s="2355"/>
      <c r="B61" s="439"/>
      <c r="D61" s="581" t="s">
        <v>93</v>
      </c>
      <c r="E61" s="582" t="s">
        <v>1917</v>
      </c>
      <c r="F61" s="641" t="s">
        <v>1613</v>
      </c>
      <c r="G61" s="584"/>
      <c r="H61" s="916"/>
      <c r="I61" s="584"/>
      <c r="J61" s="916"/>
      <c r="K61" s="207"/>
    </row>
    <row r="62" spans="1:11" s="1846" customFormat="1" ht="22.5" hidden="1" customHeight="1">
      <c r="A62" s="2355"/>
      <c r="B62" s="439" t="s">
        <v>1750</v>
      </c>
      <c r="D62" s="581" t="s">
        <v>112</v>
      </c>
      <c r="E62" s="582" t="s">
        <v>1918</v>
      </c>
      <c r="F62" s="641" t="s">
        <v>298</v>
      </c>
      <c r="G62" s="314"/>
      <c r="H62" s="916"/>
      <c r="I62" s="314"/>
      <c r="J62" s="916"/>
      <c r="K62" s="207" t="s">
        <v>713</v>
      </c>
    </row>
    <row r="63" spans="1:11" s="1846" customFormat="1" ht="45" hidden="1" customHeight="1">
      <c r="A63" s="2355"/>
      <c r="B63" s="439" t="s">
        <v>1750</v>
      </c>
      <c r="D63" s="581" t="s">
        <v>1919</v>
      </c>
      <c r="E63" s="583" t="s">
        <v>1920</v>
      </c>
      <c r="F63" s="636" t="s">
        <v>298</v>
      </c>
      <c r="G63" s="314"/>
      <c r="H63" s="916"/>
      <c r="I63" s="314"/>
      <c r="J63" s="916"/>
      <c r="K63" s="207" t="s">
        <v>713</v>
      </c>
    </row>
    <row r="64" spans="1:11" s="1846" customFormat="1" ht="11.25" customHeight="1">
      <c r="A64" s="926"/>
      <c r="B64" s="446"/>
      <c r="D64" s="927"/>
      <c r="E64" s="928"/>
    </row>
    <row r="65" spans="1:11" s="1846" customFormat="1" ht="22.5" hidden="1" customHeight="1">
      <c r="A65" s="2355" t="s">
        <v>395</v>
      </c>
      <c r="B65" s="439"/>
      <c r="D65" s="581">
        <v>1</v>
      </c>
      <c r="E65" s="658" t="s">
        <v>1921</v>
      </c>
      <c r="F65" s="654" t="s">
        <v>1601</v>
      </c>
      <c r="G65" s="655"/>
      <c r="H65" s="922"/>
      <c r="I65" s="655"/>
      <c r="J65" s="922"/>
      <c r="K65" s="219" t="s">
        <v>1922</v>
      </c>
    </row>
    <row r="66" spans="1:11" s="1846" customFormat="1" ht="56.25" hidden="1" customHeight="1">
      <c r="A66" s="2355"/>
      <c r="B66" s="439"/>
      <c r="D66" s="657" t="s">
        <v>110</v>
      </c>
      <c r="E66" s="621" t="s">
        <v>1923</v>
      </c>
      <c r="F66" s="576" t="s">
        <v>1432</v>
      </c>
      <c r="G66" s="576" t="s">
        <v>1432</v>
      </c>
      <c r="H66" s="447"/>
      <c r="I66" s="576" t="s">
        <v>1432</v>
      </c>
      <c r="J66" s="447"/>
      <c r="K66" s="207"/>
    </row>
    <row r="67" spans="1:11" s="1846" customFormat="1" ht="33.75" hidden="1" customHeight="1">
      <c r="A67" s="2355"/>
      <c r="B67" s="439"/>
      <c r="D67" s="657" t="s">
        <v>505</v>
      </c>
      <c r="E67" s="849" t="s">
        <v>1924</v>
      </c>
      <c r="F67" s="576" t="s">
        <v>1893</v>
      </c>
      <c r="G67" s="642"/>
      <c r="H67" s="447"/>
      <c r="I67" s="642"/>
      <c r="J67" s="447"/>
      <c r="K67" s="207"/>
    </row>
    <row r="68" spans="1:11" s="1846" customFormat="1" ht="22.5" hidden="1" customHeight="1">
      <c r="A68" s="2355"/>
      <c r="B68" s="439"/>
      <c r="D68" s="657" t="s">
        <v>299</v>
      </c>
      <c r="E68" s="849" t="s">
        <v>1925</v>
      </c>
      <c r="F68" s="576" t="s">
        <v>1893</v>
      </c>
      <c r="G68" s="642"/>
      <c r="H68" s="447"/>
      <c r="I68" s="642"/>
      <c r="J68" s="447"/>
      <c r="K68" s="207"/>
    </row>
    <row r="69" spans="1:11" s="1846" customFormat="1" ht="22.5" hidden="1" customHeight="1">
      <c r="A69" s="2355"/>
      <c r="B69" s="439"/>
      <c r="D69" s="657" t="s">
        <v>302</v>
      </c>
      <c r="E69" s="849" t="s">
        <v>1926</v>
      </c>
      <c r="F69" s="636" t="s">
        <v>1618</v>
      </c>
      <c r="G69" s="656"/>
      <c r="H69" s="447"/>
      <c r="I69" s="656"/>
      <c r="J69" s="447"/>
      <c r="K69" s="207"/>
    </row>
    <row r="70" spans="1:11" s="1846" customFormat="1" ht="22.5" hidden="1" customHeight="1">
      <c r="A70" s="2355"/>
      <c r="B70" s="439"/>
      <c r="D70" s="657" t="s">
        <v>514</v>
      </c>
      <c r="E70" s="849" t="s">
        <v>1927</v>
      </c>
      <c r="F70" s="636" t="s">
        <v>1618</v>
      </c>
      <c r="G70" s="656"/>
      <c r="H70" s="447"/>
      <c r="I70" s="656"/>
      <c r="J70" s="447"/>
      <c r="K70" s="207"/>
    </row>
    <row r="71" spans="1:11" s="1846" customFormat="1" ht="22.5" hidden="1" customHeight="1">
      <c r="A71" s="2355"/>
      <c r="B71" s="439"/>
      <c r="D71" s="581" t="s">
        <v>90</v>
      </c>
      <c r="E71" s="582" t="s">
        <v>1928</v>
      </c>
      <c r="F71" s="576" t="s">
        <v>1893</v>
      </c>
      <c r="G71" s="484"/>
      <c r="H71" s="923"/>
      <c r="I71" s="484"/>
      <c r="J71" s="923"/>
      <c r="K71" s="220"/>
    </row>
    <row r="72" spans="1:11" s="1846" customFormat="1" ht="56.25" hidden="1" customHeight="1">
      <c r="A72" s="2355"/>
      <c r="B72" s="439"/>
      <c r="D72" s="581" t="s">
        <v>91</v>
      </c>
      <c r="E72" s="582" t="s">
        <v>1929</v>
      </c>
      <c r="F72" s="636" t="s">
        <v>1618</v>
      </c>
      <c r="G72" s="656"/>
      <c r="H72" s="916"/>
      <c r="I72" s="656"/>
      <c r="J72" s="916"/>
      <c r="K72" s="220"/>
    </row>
    <row r="73" spans="1:11" s="1846" customFormat="1" ht="33.75" hidden="1" customHeight="1">
      <c r="A73" s="2355"/>
      <c r="B73" s="439"/>
      <c r="D73" s="581" t="s">
        <v>111</v>
      </c>
      <c r="E73" s="582" t="s">
        <v>1930</v>
      </c>
      <c r="F73" s="641" t="s">
        <v>1613</v>
      </c>
      <c r="G73" s="584"/>
      <c r="H73" s="916"/>
      <c r="I73" s="584"/>
      <c r="J73" s="916"/>
      <c r="K73" s="207"/>
    </row>
    <row r="74" spans="1:11" s="1846" customFormat="1" ht="22.5" hidden="1" customHeight="1">
      <c r="A74" s="2355"/>
      <c r="B74" s="439" t="s">
        <v>1750</v>
      </c>
      <c r="D74" s="581" t="s">
        <v>92</v>
      </c>
      <c r="E74" s="582" t="s">
        <v>1931</v>
      </c>
      <c r="F74" s="641" t="s">
        <v>298</v>
      </c>
      <c r="G74" s="314"/>
      <c r="H74" s="916"/>
      <c r="I74" s="314"/>
      <c r="J74" s="916"/>
      <c r="K74" s="207" t="s">
        <v>713</v>
      </c>
    </row>
    <row r="75" spans="1:11" s="1846" customFormat="1" ht="45" hidden="1" customHeight="1">
      <c r="A75" s="2355"/>
      <c r="B75" s="439" t="s">
        <v>1750</v>
      </c>
      <c r="D75" s="581" t="s">
        <v>518</v>
      </c>
      <c r="E75" s="583" t="s">
        <v>1932</v>
      </c>
      <c r="F75" s="636" t="s">
        <v>298</v>
      </c>
      <c r="G75" s="314"/>
      <c r="H75" s="916"/>
      <c r="I75" s="314"/>
      <c r="J75" s="916"/>
      <c r="K75" s="207" t="s">
        <v>713</v>
      </c>
    </row>
    <row r="76" spans="1:11" s="1846" customFormat="1" ht="11.25" customHeight="1">
      <c r="A76" s="926"/>
      <c r="B76" s="446"/>
      <c r="D76" s="927"/>
      <c r="E76" s="928"/>
    </row>
    <row r="77" spans="1:11" s="1846" customFormat="1" ht="11.25" hidden="1" customHeight="1">
      <c r="A77" s="2355" t="s">
        <v>394</v>
      </c>
      <c r="B77" s="439"/>
      <c r="D77" s="581">
        <v>1</v>
      </c>
      <c r="E77" s="582" t="s">
        <v>1933</v>
      </c>
      <c r="F77" s="636" t="s">
        <v>1601</v>
      </c>
      <c r="G77" s="639"/>
      <c r="H77" s="916"/>
      <c r="I77" s="639"/>
      <c r="J77" s="916"/>
      <c r="K77" s="207" t="s">
        <v>1934</v>
      </c>
    </row>
    <row r="78" spans="1:11" s="1846" customFormat="1" ht="11.25" hidden="1" customHeight="1">
      <c r="A78" s="2355"/>
      <c r="B78" s="439"/>
      <c r="D78" s="581" t="s">
        <v>110</v>
      </c>
      <c r="E78" s="582" t="s">
        <v>1935</v>
      </c>
      <c r="F78" s="636" t="s">
        <v>1601</v>
      </c>
      <c r="G78" s="639"/>
      <c r="H78" s="916"/>
      <c r="I78" s="639"/>
      <c r="J78" s="916"/>
      <c r="K78" s="207" t="s">
        <v>1936</v>
      </c>
    </row>
    <row r="79" spans="1:11" s="1846" customFormat="1" ht="22.5" hidden="1" customHeight="1">
      <c r="A79" s="2355"/>
      <c r="B79" s="439"/>
      <c r="D79" s="581" t="s">
        <v>90</v>
      </c>
      <c r="E79" s="637" t="s">
        <v>1937</v>
      </c>
      <c r="F79" s="576" t="s">
        <v>1890</v>
      </c>
      <c r="G79" s="639"/>
      <c r="H79" s="916"/>
      <c r="I79" s="639"/>
      <c r="J79" s="916"/>
      <c r="K79" s="207" t="s">
        <v>1938</v>
      </c>
    </row>
    <row r="80" spans="1:11" s="1846" customFormat="1" ht="11.25" hidden="1" customHeight="1">
      <c r="A80" s="2355"/>
      <c r="B80" s="439"/>
      <c r="D80" s="581" t="s">
        <v>318</v>
      </c>
      <c r="E80" s="638" t="s">
        <v>1939</v>
      </c>
      <c r="F80" s="576" t="s">
        <v>1890</v>
      </c>
      <c r="G80" s="639"/>
      <c r="H80" s="916"/>
      <c r="I80" s="639"/>
      <c r="J80" s="916"/>
      <c r="K80" s="207"/>
    </row>
    <row r="81" spans="1:11" s="1846" customFormat="1" ht="11.25" hidden="1" customHeight="1">
      <c r="A81" s="2355"/>
      <c r="B81" s="439"/>
      <c r="D81" s="581" t="s">
        <v>326</v>
      </c>
      <c r="E81" s="638" t="s">
        <v>1940</v>
      </c>
      <c r="F81" s="576" t="s">
        <v>1890</v>
      </c>
      <c r="G81" s="639"/>
      <c r="H81" s="916"/>
      <c r="I81" s="639"/>
      <c r="J81" s="916"/>
      <c r="K81" s="207"/>
    </row>
    <row r="82" spans="1:11" s="1846" customFormat="1" ht="11.25" hidden="1" customHeight="1">
      <c r="A82" s="2355"/>
      <c r="B82" s="439"/>
      <c r="D82" s="581" t="s">
        <v>328</v>
      </c>
      <c r="E82" s="638" t="s">
        <v>1941</v>
      </c>
      <c r="F82" s="576" t="s">
        <v>1890</v>
      </c>
      <c r="G82" s="639"/>
      <c r="H82" s="916"/>
      <c r="I82" s="639"/>
      <c r="J82" s="916"/>
      <c r="K82" s="207"/>
    </row>
    <row r="83" spans="1:11" s="1846" customFormat="1" ht="11.25" hidden="1" customHeight="1">
      <c r="A83" s="2355"/>
      <c r="B83" s="439"/>
      <c r="D83" s="581" t="s">
        <v>330</v>
      </c>
      <c r="E83" s="638" t="s">
        <v>1942</v>
      </c>
      <c r="F83" s="576" t="s">
        <v>1890</v>
      </c>
      <c r="G83" s="639"/>
      <c r="H83" s="916"/>
      <c r="I83" s="639"/>
      <c r="J83" s="916"/>
      <c r="K83" s="207"/>
    </row>
    <row r="84" spans="1:11" s="1846" customFormat="1" ht="11.25" hidden="1" customHeight="1">
      <c r="A84" s="2355"/>
      <c r="B84" s="439"/>
      <c r="D84" s="581" t="s">
        <v>1943</v>
      </c>
      <c r="E84" s="638" t="s">
        <v>1944</v>
      </c>
      <c r="F84" s="576" t="s">
        <v>1890</v>
      </c>
      <c r="G84" s="639"/>
      <c r="H84" s="916"/>
      <c r="I84" s="639"/>
      <c r="J84" s="916"/>
      <c r="K84" s="207"/>
    </row>
    <row r="85" spans="1:11" s="1846" customFormat="1" ht="11.25" hidden="1" customHeight="1">
      <c r="A85" s="2355"/>
      <c r="B85" s="439"/>
      <c r="D85" s="581" t="s">
        <v>1945</v>
      </c>
      <c r="E85" s="638" t="s">
        <v>1946</v>
      </c>
      <c r="F85" s="576" t="s">
        <v>1890</v>
      </c>
      <c r="G85" s="639"/>
      <c r="H85" s="916"/>
      <c r="I85" s="639"/>
      <c r="J85" s="916"/>
      <c r="K85" s="207"/>
    </row>
    <row r="86" spans="1:11" s="1846" customFormat="1" ht="11.25" hidden="1" customHeight="1">
      <c r="A86" s="2355"/>
      <c r="B86" s="439"/>
      <c r="D86" s="581" t="s">
        <v>1947</v>
      </c>
      <c r="E86" s="638" t="s">
        <v>1948</v>
      </c>
      <c r="F86" s="576" t="s">
        <v>1890</v>
      </c>
      <c r="G86" s="639"/>
      <c r="H86" s="916"/>
      <c r="I86" s="639"/>
      <c r="J86" s="916"/>
      <c r="K86" s="207"/>
    </row>
    <row r="87" spans="1:11" s="1846" customFormat="1" ht="45" hidden="1" customHeight="1">
      <c r="A87" s="2355"/>
      <c r="B87" s="439"/>
      <c r="D87" s="581" t="s">
        <v>91</v>
      </c>
      <c r="E87" s="582" t="s">
        <v>1949</v>
      </c>
      <c r="F87" s="576" t="s">
        <v>1890</v>
      </c>
      <c r="G87" s="639"/>
      <c r="H87" s="916"/>
      <c r="I87" s="639"/>
      <c r="J87" s="916"/>
      <c r="K87" s="207" t="s">
        <v>1950</v>
      </c>
    </row>
    <row r="88" spans="1:11" s="1846" customFormat="1" ht="11.25" hidden="1" customHeight="1">
      <c r="A88" s="2355"/>
      <c r="B88" s="439"/>
      <c r="D88" s="581" t="s">
        <v>613</v>
      </c>
      <c r="E88" s="638" t="s">
        <v>1939</v>
      </c>
      <c r="F88" s="576" t="s">
        <v>1890</v>
      </c>
      <c r="G88" s="639"/>
      <c r="H88" s="916"/>
      <c r="I88" s="639"/>
      <c r="J88" s="916"/>
      <c r="K88" s="207"/>
    </row>
    <row r="89" spans="1:11" s="1846" customFormat="1" ht="11.25" hidden="1" customHeight="1">
      <c r="A89" s="2355"/>
      <c r="B89" s="439"/>
      <c r="D89" s="581" t="s">
        <v>632</v>
      </c>
      <c r="E89" s="638" t="s">
        <v>1940</v>
      </c>
      <c r="F89" s="576" t="s">
        <v>1890</v>
      </c>
      <c r="G89" s="639"/>
      <c r="H89" s="916"/>
      <c r="I89" s="639"/>
      <c r="J89" s="916"/>
      <c r="K89" s="207"/>
    </row>
    <row r="90" spans="1:11" s="1846" customFormat="1" ht="11.25" hidden="1" customHeight="1">
      <c r="A90" s="2355"/>
      <c r="B90" s="439"/>
      <c r="D90" s="581" t="s">
        <v>1614</v>
      </c>
      <c r="E90" s="638" t="s">
        <v>1941</v>
      </c>
      <c r="F90" s="576" t="s">
        <v>1890</v>
      </c>
      <c r="G90" s="639"/>
      <c r="H90" s="916"/>
      <c r="I90" s="639"/>
      <c r="J90" s="916"/>
      <c r="K90" s="207"/>
    </row>
    <row r="91" spans="1:11" s="1846" customFormat="1" ht="11.25" hidden="1" customHeight="1">
      <c r="A91" s="2355"/>
      <c r="B91" s="439"/>
      <c r="D91" s="581" t="s">
        <v>1908</v>
      </c>
      <c r="E91" s="638" t="s">
        <v>1942</v>
      </c>
      <c r="F91" s="576" t="s">
        <v>1890</v>
      </c>
      <c r="G91" s="639"/>
      <c r="H91" s="916"/>
      <c r="I91" s="639"/>
      <c r="J91" s="916"/>
      <c r="K91" s="207"/>
    </row>
    <row r="92" spans="1:11" s="1846" customFormat="1" ht="11.25" hidden="1" customHeight="1">
      <c r="A92" s="2355"/>
      <c r="B92" s="439"/>
      <c r="D92" s="581" t="s">
        <v>1910</v>
      </c>
      <c r="E92" s="638" t="s">
        <v>1944</v>
      </c>
      <c r="F92" s="576" t="s">
        <v>1890</v>
      </c>
      <c r="G92" s="639"/>
      <c r="H92" s="916"/>
      <c r="I92" s="639"/>
      <c r="J92" s="916"/>
      <c r="K92" s="207"/>
    </row>
    <row r="93" spans="1:11" s="1846" customFormat="1" ht="11.25" hidden="1" customHeight="1">
      <c r="A93" s="2355"/>
      <c r="B93" s="439"/>
      <c r="D93" s="581" t="s">
        <v>1951</v>
      </c>
      <c r="E93" s="638" t="s">
        <v>1946</v>
      </c>
      <c r="F93" s="576" t="s">
        <v>1890</v>
      </c>
      <c r="G93" s="639"/>
      <c r="H93" s="916"/>
      <c r="I93" s="639"/>
      <c r="J93" s="916"/>
      <c r="K93" s="207"/>
    </row>
    <row r="94" spans="1:11" s="1846" customFormat="1" ht="11.25" hidden="1" customHeight="1">
      <c r="A94" s="2355"/>
      <c r="B94" s="439"/>
      <c r="D94" s="581" t="s">
        <v>1952</v>
      </c>
      <c r="E94" s="638" t="s">
        <v>1948</v>
      </c>
      <c r="F94" s="576" t="s">
        <v>1890</v>
      </c>
      <c r="G94" s="639"/>
      <c r="H94" s="916"/>
      <c r="I94" s="639"/>
      <c r="J94" s="916"/>
      <c r="K94" s="207"/>
    </row>
    <row r="95" spans="1:11" s="1846" customFormat="1" ht="24.75" hidden="1" customHeight="1">
      <c r="A95" s="2355"/>
      <c r="B95" s="439"/>
      <c r="D95" s="581" t="s">
        <v>111</v>
      </c>
      <c r="E95" s="582" t="s">
        <v>1953</v>
      </c>
      <c r="F95" s="640" t="s">
        <v>1618</v>
      </c>
      <c r="G95" s="642"/>
      <c r="H95" s="916"/>
      <c r="I95" s="642"/>
      <c r="J95" s="916"/>
      <c r="K95" s="207" t="s">
        <v>1954</v>
      </c>
    </row>
    <row r="96" spans="1:11" s="1846" customFormat="1" ht="33.75" hidden="1" customHeight="1">
      <c r="A96" s="2355"/>
      <c r="B96" s="439"/>
      <c r="D96" s="581" t="s">
        <v>92</v>
      </c>
      <c r="E96" s="582" t="s">
        <v>1955</v>
      </c>
      <c r="F96" s="641" t="s">
        <v>1613</v>
      </c>
      <c r="G96" s="643"/>
      <c r="H96" s="916"/>
      <c r="I96" s="643"/>
      <c r="J96" s="916"/>
      <c r="K96" s="207"/>
    </row>
    <row r="97" spans="1:11" s="1846" customFormat="1" ht="22.5" hidden="1" customHeight="1">
      <c r="A97" s="2355"/>
      <c r="B97" s="439" t="s">
        <v>1750</v>
      </c>
      <c r="D97" s="581" t="s">
        <v>93</v>
      </c>
      <c r="E97" s="582" t="s">
        <v>1956</v>
      </c>
      <c r="F97" s="641" t="s">
        <v>298</v>
      </c>
      <c r="G97" s="316"/>
      <c r="H97" s="916"/>
      <c r="I97" s="316"/>
      <c r="J97" s="916"/>
      <c r="K97" s="207" t="s">
        <v>713</v>
      </c>
    </row>
    <row r="98" spans="1:11" s="1846" customFormat="1" ht="45" hidden="1" customHeight="1">
      <c r="A98" s="2355"/>
      <c r="B98" s="439" t="s">
        <v>1750</v>
      </c>
      <c r="D98" s="581" t="s">
        <v>1673</v>
      </c>
      <c r="E98" s="583" t="s">
        <v>1957</v>
      </c>
      <c r="F98" s="636" t="s">
        <v>298</v>
      </c>
      <c r="G98" s="316"/>
      <c r="H98" s="916"/>
      <c r="I98" s="316"/>
      <c r="J98" s="916"/>
      <c r="K98" s="207" t="s">
        <v>713</v>
      </c>
    </row>
    <row r="99" spans="1:11" s="1846" customFormat="1" ht="95.25" hidden="1" customHeight="1">
      <c r="A99" s="2355"/>
      <c r="B99" s="439" t="s">
        <v>1750</v>
      </c>
      <c r="D99" s="581" t="s">
        <v>112</v>
      </c>
      <c r="E99" s="582" t="s">
        <v>1958</v>
      </c>
      <c r="F99" s="636" t="s">
        <v>298</v>
      </c>
      <c r="G99" s="316"/>
      <c r="H99" s="916"/>
      <c r="I99" s="316"/>
      <c r="J99" s="916"/>
      <c r="K99" s="207" t="s">
        <v>713</v>
      </c>
    </row>
    <row r="100" spans="1:11" s="1846" customFormat="1" ht="22.5" hidden="1" customHeight="1">
      <c r="A100" s="2355"/>
      <c r="B100" s="439" t="s">
        <v>1750</v>
      </c>
      <c r="D100" s="581" t="s">
        <v>149</v>
      </c>
      <c r="E100" s="582" t="s">
        <v>1959</v>
      </c>
      <c r="F100" s="636" t="s">
        <v>298</v>
      </c>
      <c r="G100" s="316"/>
      <c r="H100" s="916"/>
      <c r="I100" s="316"/>
      <c r="J100" s="916"/>
      <c r="K100" s="207" t="s">
        <v>713</v>
      </c>
    </row>
    <row r="101" spans="1:11" s="1846" customFormat="1" ht="11.25" customHeight="1">
      <c r="A101" s="926"/>
      <c r="B101" s="446"/>
      <c r="D101" s="927"/>
      <c r="E101" s="928"/>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D17"/>
  <sheetViews>
    <sheetView showGridLines="0" topLeftCell="E4" zoomScale="85" workbookViewId="0">
      <selection activeCell="F5" sqref="F5:K5"/>
    </sheetView>
  </sheetViews>
  <sheetFormatPr defaultColWidth="9.140625" defaultRowHeight="10.5" customHeight="1"/>
  <cols>
    <col min="1" max="3" width="6.7109375" style="1821" hidden="1" customWidth="1"/>
    <col min="4" max="4" width="6.7109375" style="1759" hidden="1" customWidth="1"/>
    <col min="5" max="5" width="3.7109375" style="1846" customWidth="1"/>
    <col min="6" max="6" width="6.28515625" style="1846" customWidth="1"/>
    <col min="7" max="7" width="37.7109375" style="1846" customWidth="1"/>
    <col min="8" max="8" width="16.5703125" style="1846" customWidth="1"/>
    <col min="9" max="10" width="19.7109375" style="1846" customWidth="1"/>
    <col min="11" max="11" width="25" style="1846" customWidth="1"/>
    <col min="12" max="13" width="25.7109375" style="1846" customWidth="1"/>
    <col min="14" max="16" width="17.7109375" style="1846" customWidth="1"/>
    <col min="17" max="24" width="19.7109375" style="1846" customWidth="1"/>
    <col min="25" max="25" width="8" style="1846" customWidth="1"/>
    <col min="26" max="26" width="3.28515625" style="1846" customWidth="1"/>
    <col min="27" max="27" width="6.28515625" style="1846" customWidth="1"/>
    <col min="28" max="28" width="34.140625" style="1846" customWidth="1"/>
    <col min="29" max="30" width="9.140625" style="1846"/>
  </cols>
  <sheetData>
    <row r="1" spans="1:30" s="1759" customFormat="1" ht="10.5" hidden="1" customHeight="1">
      <c r="A1" s="793"/>
      <c r="B1" s="793"/>
      <c r="C1" s="793"/>
      <c r="E1" s="464"/>
      <c r="H1" s="1036"/>
    </row>
    <row r="2" spans="1:30" ht="10.5" hidden="1" customHeight="1"/>
    <row r="3" spans="1:30" s="1741" customFormat="1" ht="10.5" hidden="1" customHeight="1">
      <c r="A3" s="793"/>
      <c r="B3" s="793"/>
      <c r="C3" s="793"/>
      <c r="D3" s="352"/>
      <c r="E3" s="288"/>
      <c r="H3" s="1032"/>
    </row>
    <row r="4" spans="1:30" ht="3" customHeight="1"/>
    <row r="5" spans="1:30" ht="30" customHeight="1">
      <c r="F5" s="2313" t="s">
        <v>1960</v>
      </c>
      <c r="G5" s="2313"/>
      <c r="H5" s="2313"/>
      <c r="I5" s="2313"/>
      <c r="J5" s="2313"/>
      <c r="K5" s="2313"/>
      <c r="M5" s="509"/>
      <c r="AB5" s="807"/>
    </row>
    <row r="6" spans="1:30" s="1846" customFormat="1" ht="15.75" customHeight="1">
      <c r="A6" s="1042"/>
      <c r="B6" s="1042"/>
      <c r="C6" s="1042"/>
      <c r="D6" s="1036"/>
      <c r="E6" s="1496"/>
      <c r="F6" s="2113" t="str">
        <f>IF(org=0,"Не определено",org)</f>
        <v>ООО "Автозаводская ТЭЦ"</v>
      </c>
      <c r="G6" s="2113"/>
      <c r="H6" s="2113"/>
      <c r="I6" s="2113"/>
      <c r="J6" s="2113"/>
      <c r="K6" s="2113"/>
      <c r="M6" s="509"/>
      <c r="AB6" s="1025"/>
    </row>
    <row r="8" spans="1:30" ht="10.5" customHeight="1">
      <c r="A8" s="937"/>
      <c r="B8" s="937"/>
      <c r="C8" s="937"/>
      <c r="F8" s="2003" t="s">
        <v>292</v>
      </c>
      <c r="G8" s="2008"/>
      <c r="H8" s="2008"/>
      <c r="I8" s="2008"/>
      <c r="J8" s="2008"/>
      <c r="K8" s="2008"/>
      <c r="L8" s="2008"/>
      <c r="M8" s="2008"/>
      <c r="N8" s="2008"/>
      <c r="O8" s="2008"/>
      <c r="P8" s="2008"/>
      <c r="Q8" s="2008"/>
      <c r="R8" s="2008"/>
      <c r="S8" s="2008"/>
      <c r="T8" s="2008"/>
      <c r="U8" s="2008"/>
      <c r="V8" s="2008"/>
      <c r="W8" s="2008"/>
      <c r="X8" s="2008"/>
      <c r="Y8" s="2008"/>
      <c r="Z8" s="2008"/>
      <c r="AA8" s="2008"/>
      <c r="AB8" s="2002"/>
    </row>
    <row r="9" spans="1:30" ht="41.25" customHeight="1">
      <c r="A9" s="806"/>
      <c r="B9" s="806"/>
      <c r="C9" s="806"/>
      <c r="F9" s="2021" t="s">
        <v>88</v>
      </c>
      <c r="G9" s="2021" t="s">
        <v>1961</v>
      </c>
      <c r="H9" s="2080" t="s">
        <v>1962</v>
      </c>
      <c r="I9" s="2021" t="s">
        <v>1963</v>
      </c>
      <c r="J9" s="2021" t="s">
        <v>1964</v>
      </c>
      <c r="K9" s="2021" t="s">
        <v>1965</v>
      </c>
      <c r="L9" s="2021" t="s">
        <v>1966</v>
      </c>
      <c r="M9" s="2021" t="s">
        <v>1967</v>
      </c>
      <c r="N9" s="2358" t="s">
        <v>1968</v>
      </c>
      <c r="O9" s="2358"/>
      <c r="P9" s="2358"/>
      <c r="Q9" s="2248" t="s">
        <v>1969</v>
      </c>
      <c r="R9" s="2249"/>
      <c r="S9" s="2249"/>
      <c r="T9" s="2250"/>
      <c r="U9" s="2248" t="s">
        <v>1970</v>
      </c>
      <c r="V9" s="2249"/>
      <c r="W9" s="2249"/>
      <c r="X9" s="2250"/>
      <c r="Y9" s="2003" t="s">
        <v>1971</v>
      </c>
      <c r="Z9" s="2008"/>
      <c r="AA9" s="2008"/>
      <c r="AB9" s="2002"/>
    </row>
    <row r="10" spans="1:30" ht="41.25" customHeight="1">
      <c r="A10" s="806"/>
      <c r="B10" s="806"/>
      <c r="C10" s="806"/>
      <c r="F10" s="2080"/>
      <c r="G10" s="2080"/>
      <c r="H10" s="2136"/>
      <c r="I10" s="2080"/>
      <c r="J10" s="2080"/>
      <c r="K10" s="2080"/>
      <c r="L10" s="2080"/>
      <c r="M10" s="2080"/>
      <c r="N10" s="804" t="s">
        <v>1972</v>
      </c>
      <c r="O10" s="804" t="s">
        <v>1973</v>
      </c>
      <c r="P10" s="805" t="s">
        <v>1974</v>
      </c>
      <c r="Q10" s="816" t="s">
        <v>89</v>
      </c>
      <c r="R10" s="816" t="s">
        <v>1975</v>
      </c>
      <c r="S10" s="816" t="s">
        <v>1976</v>
      </c>
      <c r="T10" s="817" t="s">
        <v>1977</v>
      </c>
      <c r="U10" s="816" t="s">
        <v>89</v>
      </c>
      <c r="V10" s="816" t="s">
        <v>1978</v>
      </c>
      <c r="W10" s="816" t="s">
        <v>1976</v>
      </c>
      <c r="X10" s="817" t="s">
        <v>1977</v>
      </c>
      <c r="Y10" s="219" t="s">
        <v>1979</v>
      </c>
      <c r="Z10" s="2003" t="s">
        <v>88</v>
      </c>
      <c r="AA10" s="2002"/>
      <c r="AB10" s="935" t="s">
        <v>1980</v>
      </c>
    </row>
    <row r="11" spans="1:30" s="1772" customFormat="1" ht="5.25" hidden="1" customHeight="1">
      <c r="A11" s="938"/>
      <c r="B11" s="938"/>
      <c r="C11" s="938"/>
      <c r="E11" s="936"/>
      <c r="F11" s="2222" t="s">
        <v>370</v>
      </c>
      <c r="G11" s="2306"/>
      <c r="H11" s="2356"/>
      <c r="I11" s="2356"/>
      <c r="J11" s="2356"/>
      <c r="K11" s="2359"/>
      <c r="L11" s="2359"/>
      <c r="M11" s="2359"/>
      <c r="N11" s="2356"/>
      <c r="O11" s="2356"/>
      <c r="P11" s="2021"/>
      <c r="Q11" s="2090"/>
      <c r="R11" s="2090"/>
      <c r="S11" s="2090"/>
      <c r="T11" s="2356"/>
      <c r="U11" s="2090"/>
      <c r="V11" s="2090"/>
      <c r="W11" s="2090"/>
      <c r="X11" s="2356"/>
      <c r="Y11" s="2032"/>
      <c r="Z11" s="2032"/>
      <c r="AA11" s="2032"/>
      <c r="AB11" s="2032"/>
      <c r="AD11" s="439" t="s">
        <v>1981</v>
      </c>
    </row>
    <row r="12" spans="1:30" s="1772" customFormat="1" ht="5.25" hidden="1" customHeight="1">
      <c r="A12" s="794"/>
      <c r="B12" s="794"/>
      <c r="C12" s="794"/>
      <c r="E12" s="446"/>
      <c r="F12" s="2222"/>
      <c r="G12" s="2306"/>
      <c r="H12" s="2356"/>
      <c r="I12" s="2356"/>
      <c r="J12" s="2356"/>
      <c r="K12" s="2359"/>
      <c r="L12" s="2359"/>
      <c r="M12" s="2359"/>
      <c r="N12" s="2356"/>
      <c r="O12" s="2356"/>
      <c r="P12" s="2021"/>
      <c r="Q12" s="2090"/>
      <c r="R12" s="2090"/>
      <c r="S12" s="2090"/>
      <c r="T12" s="2356"/>
      <c r="U12" s="2090"/>
      <c r="V12" s="2090"/>
      <c r="W12" s="2090"/>
      <c r="X12" s="2356"/>
      <c r="Y12" s="2357"/>
      <c r="Z12" s="2357"/>
      <c r="AA12" s="2357"/>
      <c r="AB12" s="2357"/>
    </row>
    <row r="13" spans="1:30" ht="72" customHeight="1">
      <c r="C13" s="1042"/>
      <c r="D13" s="1036"/>
      <c r="E13" s="2360" t="s">
        <v>1109</v>
      </c>
      <c r="F13" s="2148" t="s">
        <v>109</v>
      </c>
      <c r="G13" s="2149" t="s">
        <v>1982</v>
      </c>
      <c r="H13" s="2150" t="s">
        <v>66</v>
      </c>
      <c r="I13" s="2152">
        <v>44498</v>
      </c>
      <c r="J13" s="2154">
        <v>45250.628101851849</v>
      </c>
      <c r="K13" s="2156" t="s">
        <v>1101</v>
      </c>
      <c r="L13" s="2159" t="s">
        <v>1983</v>
      </c>
      <c r="M13" s="2159" t="s">
        <v>1984</v>
      </c>
      <c r="N13" s="2198" t="s">
        <v>1985</v>
      </c>
      <c r="O13" s="2198" t="s">
        <v>1986</v>
      </c>
      <c r="P13" s="2199" t="str">
        <f>DATEDIF(DATEVALUE(N13),DATEVALUE(O13),"y")&amp;"г. "&amp;DATEDIF(DATEVALUE(N13),DATEVALUE(O13),"ym")&amp;"мес. "&amp;DATEVALUE(O13)-DATE(YEAR(DATEVALUE(O13)),MONTH(DATEVALUE(O13)),1)&amp;"дн. "</f>
        <v xml:space="preserve">4г. 11мес. 30дн. </v>
      </c>
      <c r="Q13" s="2161"/>
      <c r="R13" s="2161"/>
      <c r="S13" s="2161"/>
      <c r="T13" s="2154"/>
      <c r="U13" s="2161"/>
      <c r="V13" s="2161"/>
      <c r="W13" s="2161"/>
      <c r="X13" s="2154"/>
      <c r="Y13" s="2196" t="s">
        <v>66</v>
      </c>
      <c r="Z13" s="1061"/>
      <c r="AA13" s="1062">
        <v>1</v>
      </c>
      <c r="AB13" s="1823" t="s">
        <v>370</v>
      </c>
      <c r="AD13" s="439" t="s">
        <v>1987</v>
      </c>
    </row>
    <row r="14" spans="1:30" ht="10.5" customHeight="1">
      <c r="C14" s="1042"/>
      <c r="D14" s="1036"/>
      <c r="E14" s="2361"/>
      <c r="F14" s="2148" t="s">
        <v>370</v>
      </c>
      <c r="G14" s="2149"/>
      <c r="H14" s="2151"/>
      <c r="I14" s="2153"/>
      <c r="J14" s="2155"/>
      <c r="K14" s="2156"/>
      <c r="L14" s="2159"/>
      <c r="M14" s="2159"/>
      <c r="N14" s="2198"/>
      <c r="O14" s="2198"/>
      <c r="P14" s="2199"/>
      <c r="Q14" s="2161"/>
      <c r="R14" s="2161"/>
      <c r="S14" s="2161"/>
      <c r="T14" s="2155"/>
      <c r="U14" s="2161"/>
      <c r="V14" s="2161"/>
      <c r="W14" s="2161"/>
      <c r="X14" s="2155"/>
      <c r="Y14" s="2197"/>
      <c r="Z14" s="271"/>
      <c r="AA14" s="499"/>
      <c r="AB14" s="1825" t="s">
        <v>1407</v>
      </c>
    </row>
    <row r="15" spans="1:30" ht="10.5" customHeight="1">
      <c r="F15" s="803"/>
      <c r="G15" s="567" t="s">
        <v>1988</v>
      </c>
      <c r="H15" s="1044"/>
      <c r="I15" s="499"/>
      <c r="J15" s="499"/>
      <c r="K15" s="499"/>
      <c r="L15" s="499"/>
      <c r="M15" s="499"/>
      <c r="N15" s="499"/>
      <c r="O15" s="499"/>
      <c r="P15" s="499"/>
      <c r="Q15" s="499"/>
      <c r="R15" s="499"/>
      <c r="S15" s="499"/>
      <c r="T15" s="499"/>
      <c r="U15" s="499"/>
      <c r="V15" s="499"/>
      <c r="W15" s="499"/>
      <c r="X15" s="499"/>
      <c r="Y15" s="499"/>
      <c r="Z15" s="611"/>
      <c r="AA15" s="611"/>
      <c r="AB15" s="818"/>
    </row>
    <row r="17" spans="1:8" s="1772" customFormat="1" ht="10.5" customHeight="1">
      <c r="A17" s="1043"/>
      <c r="B17" s="1043"/>
      <c r="C17" s="1043"/>
      <c r="E17" s="446"/>
      <c r="H17" s="439">
        <f>IFERROR(MATCH("нет",IP_MAIN_DIFFERENTIATION_EVENTS_FLAG,0),0)</f>
        <v>0</v>
      </c>
    </row>
  </sheetData>
  <sheetProtection formatColumns="0" formatRows="0" insertRows="0" deleteColumns="0" deleteRows="0" sort="0" autoFilter="0"/>
  <mergeCells count="60">
    <mergeCell ref="E13:E14"/>
    <mergeCell ref="K13:K14"/>
    <mergeCell ref="L13:L14"/>
    <mergeCell ref="U13:U14"/>
    <mergeCell ref="V13:V14"/>
    <mergeCell ref="Y13:Y14"/>
    <mergeCell ref="S13:S14"/>
    <mergeCell ref="T13:T14"/>
    <mergeCell ref="M13:M14"/>
    <mergeCell ref="N13:N14"/>
    <mergeCell ref="O13:O14"/>
    <mergeCell ref="Q13:Q14"/>
    <mergeCell ref="R13:R14"/>
    <mergeCell ref="W13:W14"/>
    <mergeCell ref="X13:X14"/>
    <mergeCell ref="P13:P14"/>
    <mergeCell ref="F13:F14"/>
    <mergeCell ref="G13:G14"/>
    <mergeCell ref="H13:H14"/>
    <mergeCell ref="I13:I14"/>
    <mergeCell ref="J13:J14"/>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dataValidations count="15">
    <dataValidation allowBlank="1" showInputMessage="1" showErrorMessage="1" promptTitle="Ввод" prompt="Для выбора ИП необходимо два раза нажать левую кнопку мыши!" sqref="G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J1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K13">
      <formula1>"a"</formula1>
    </dataValidation>
    <dataValidation type="textLength" operator="lessThanOrEqual" allowBlank="1" showInputMessage="1" showErrorMessage="1" errorTitle="Ошибка" error="Допускается ввод не более 900 символов!" sqref="L13">
      <formula1>900</formula1>
    </dataValidation>
    <dataValidation type="textLength" operator="lessThanOrEqual" allowBlank="1" showInputMessage="1" showErrorMessage="1" errorTitle="Ошибка" error="Допускается ввод не более 900 символов!" sqref="M13">
      <formula1>900</formula1>
    </dataValidation>
    <dataValidation type="textLength" operator="lessThanOrEqual" allowBlank="1" showInputMessage="1" showErrorMessage="1" errorTitle="Ошибка" error="Допускается ввод не более 900 символов!" sqref="Q13">
      <formula1>900</formula1>
    </dataValidation>
    <dataValidation type="textLength" operator="lessThanOrEqual" allowBlank="1" showInputMessage="1" showErrorMessage="1" errorTitle="Ошибка" error="Допускается ввод не более 900 символов!" sqref="R13">
      <formula1>900</formula1>
    </dataValidation>
    <dataValidation type="textLength" operator="lessThanOrEqual" allowBlank="1" showInputMessage="1" showErrorMessage="1" errorTitle="Ошибка" error="Допускается ввод не более 900 символов!" sqref="S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T13"/>
    <dataValidation type="textLength" operator="lessThanOrEqual" allowBlank="1" showInputMessage="1" showErrorMessage="1" errorTitle="Ошибка" error="Допускается ввод не более 900 символов!" sqref="U13">
      <formula1>900</formula1>
    </dataValidation>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13"/>
    <dataValidation type="textLength" operator="lessThanOrEqual" allowBlank="1" showInputMessage="1" showErrorMessage="1" errorTitle="Ошибка" error="Допускается ввод не более 900 символов!" sqref="AB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F80"/>
  <sheetViews>
    <sheetView showGridLines="0" topLeftCell="E4" zoomScale="90" workbookViewId="0">
      <selection activeCell="F5" sqref="F5:K5"/>
    </sheetView>
  </sheetViews>
  <sheetFormatPr defaultColWidth="9.140625" defaultRowHeight="10.5" customHeight="1"/>
  <cols>
    <col min="1" max="3" width="4.140625" style="1821" hidden="1" customWidth="1"/>
    <col min="4" max="4" width="4.140625" style="1759" hidden="1" customWidth="1"/>
    <col min="5" max="5" width="3.7109375" style="1846" customWidth="1"/>
    <col min="6" max="6" width="14.42578125" style="1846" customWidth="1"/>
    <col min="7" max="7" width="3.7109375" style="1846" customWidth="1"/>
    <col min="8" max="8" width="7.7109375" style="1846" customWidth="1"/>
    <col min="9" max="9" width="40.5703125" style="1846" customWidth="1"/>
    <col min="10" max="10" width="16.7109375" style="1846" customWidth="1"/>
    <col min="11" max="11" width="25.7109375" style="1846" hidden="1" customWidth="1"/>
    <col min="12" max="12" width="8" style="1846" hidden="1" customWidth="1"/>
    <col min="13" max="13" width="15.5703125" style="1846" hidden="1" customWidth="1"/>
    <col min="14" max="14" width="3.28515625" style="1846" hidden="1" customWidth="1"/>
    <col min="15" max="15" width="4.7109375" style="1846" hidden="1" customWidth="1"/>
    <col min="16" max="16" width="9" style="1846" hidden="1" customWidth="1"/>
    <col min="17" max="17" width="21.7109375" style="1846" hidden="1" customWidth="1"/>
    <col min="18" max="18" width="14.7109375" style="1846" hidden="1" customWidth="1"/>
    <col min="19" max="20" width="17.7109375" style="1846" hidden="1" customWidth="1"/>
    <col min="21" max="21" width="9.7109375" style="1846" hidden="1" customWidth="1"/>
    <col min="22" max="22" width="12.7109375" style="1846" hidden="1" customWidth="1"/>
    <col min="23" max="23" width="9.7109375" style="1846" hidden="1" customWidth="1"/>
    <col min="24" max="24" width="21.7109375" style="1846" hidden="1" customWidth="1"/>
    <col min="25" max="25" width="12.7109375" style="1846" hidden="1" customWidth="1"/>
    <col min="26" max="26" width="3.28515625" style="1846" customWidth="1"/>
    <col min="27" max="27" width="7.140625" style="1846" customWidth="1"/>
    <col min="28" max="28" width="38.42578125" style="1846" customWidth="1"/>
    <col min="29" max="29" width="15.7109375" style="1846" customWidth="1"/>
    <col min="30" max="30" width="37.5703125" style="1846" customWidth="1"/>
    <col min="31" max="31" width="15.7109375" style="1846" customWidth="1"/>
    <col min="32" max="37" width="16.7109375" style="1846" customWidth="1"/>
    <col min="38" max="58" width="9.140625" style="1846"/>
  </cols>
  <sheetData>
    <row r="1" spans="1:58" s="1759" customFormat="1" ht="10.5" hidden="1" customHeight="1">
      <c r="A1" s="793"/>
      <c r="B1" s="793"/>
      <c r="C1" s="793"/>
      <c r="E1" s="464"/>
      <c r="H1" s="1036"/>
      <c r="L1" s="1007"/>
      <c r="M1" s="1007"/>
      <c r="AD1" s="1007"/>
      <c r="AH1" s="1024"/>
      <c r="AI1" s="1018"/>
    </row>
    <row r="2" spans="1:58" ht="10.5" hidden="1" customHeight="1"/>
    <row r="3" spans="1:58" s="1741" customFormat="1" ht="10.5" hidden="1" customHeight="1">
      <c r="A3" s="793"/>
      <c r="B3" s="793"/>
      <c r="C3" s="793"/>
      <c r="D3" s="352"/>
      <c r="E3" s="288"/>
      <c r="H3" s="1032"/>
      <c r="L3" s="1005"/>
      <c r="M3" s="1005"/>
      <c r="AD3" s="1005"/>
      <c r="AH3" s="1022"/>
      <c r="AI3" s="1016"/>
    </row>
    <row r="4" spans="1:58" ht="3" customHeight="1"/>
    <row r="5" spans="1:58" ht="30" customHeight="1">
      <c r="F5" s="2313" t="s">
        <v>1960</v>
      </c>
      <c r="G5" s="2313"/>
      <c r="H5" s="2313"/>
      <c r="I5" s="2313"/>
      <c r="J5" s="2313"/>
      <c r="K5" s="2313"/>
      <c r="L5" s="1014"/>
      <c r="M5" s="1014"/>
      <c r="AG5" s="807"/>
      <c r="AH5" s="1025"/>
    </row>
    <row r="6" spans="1:58" ht="10.5" customHeight="1">
      <c r="F6" s="2113" t="str">
        <f>IF(org=0,"Не определено",org)</f>
        <v>ООО "Автозаводская ТЭЦ"</v>
      </c>
      <c r="G6" s="2113"/>
      <c r="H6" s="2113"/>
      <c r="I6" s="2113"/>
      <c r="J6" s="2113"/>
      <c r="K6" s="2113"/>
      <c r="L6" s="1015"/>
      <c r="M6" s="1015"/>
    </row>
    <row r="7" spans="1:58" ht="11.25" customHeight="1">
      <c r="E7" s="809"/>
      <c r="F7" s="820"/>
      <c r="G7" s="820"/>
      <c r="H7" s="1057"/>
      <c r="I7" s="820"/>
      <c r="J7" s="820"/>
      <c r="K7" s="822"/>
      <c r="L7" s="1012"/>
      <c r="M7" s="1012"/>
      <c r="N7" s="820"/>
      <c r="O7" s="820"/>
      <c r="P7" s="820"/>
      <c r="Q7" s="822"/>
      <c r="R7" s="820"/>
      <c r="S7" s="820"/>
      <c r="T7" s="820"/>
      <c r="U7" s="820"/>
      <c r="V7" s="820"/>
      <c r="W7" s="820"/>
      <c r="X7" s="820"/>
      <c r="Y7" s="820"/>
      <c r="Z7" s="820"/>
      <c r="AA7" s="820"/>
      <c r="AB7" s="820"/>
      <c r="AC7" s="821"/>
      <c r="AD7" s="1011"/>
      <c r="AE7" s="821"/>
      <c r="AF7" s="820"/>
      <c r="AG7" s="820"/>
      <c r="AH7" s="1027"/>
      <c r="AI7" s="1021"/>
      <c r="AJ7" s="820"/>
      <c r="AK7" s="820"/>
      <c r="AL7" s="811"/>
      <c r="AM7" s="811"/>
      <c r="AN7" s="811"/>
      <c r="AO7" s="808"/>
      <c r="AP7" s="808"/>
      <c r="AQ7" s="808"/>
      <c r="AR7" s="808"/>
      <c r="AS7" s="808"/>
      <c r="AT7" s="808"/>
      <c r="AU7" s="808"/>
      <c r="AV7" s="808"/>
      <c r="AW7" s="808"/>
      <c r="AX7" s="808"/>
      <c r="AY7" s="808"/>
      <c r="AZ7" s="808"/>
      <c r="BA7" s="808"/>
      <c r="BB7" s="808"/>
      <c r="BC7" s="808"/>
      <c r="BD7" s="808"/>
      <c r="BE7" s="808"/>
      <c r="BF7" s="808"/>
    </row>
    <row r="8" spans="1:58" ht="10.5" customHeight="1">
      <c r="E8" s="809"/>
      <c r="F8" s="2368" t="s">
        <v>292</v>
      </c>
      <c r="G8" s="2369"/>
      <c r="H8" s="2369"/>
      <c r="I8" s="2369"/>
      <c r="J8" s="2369"/>
      <c r="K8" s="2369"/>
      <c r="L8" s="2369"/>
      <c r="M8" s="2369"/>
      <c r="N8" s="2369"/>
      <c r="O8" s="2369"/>
      <c r="P8" s="2369"/>
      <c r="Q8" s="2369"/>
      <c r="R8" s="2369"/>
      <c r="S8" s="2369"/>
      <c r="T8" s="2369"/>
      <c r="U8" s="2369"/>
      <c r="V8" s="2369"/>
      <c r="W8" s="2369"/>
      <c r="X8" s="2369"/>
      <c r="Y8" s="2369"/>
      <c r="Z8" s="2369"/>
      <c r="AA8" s="2369"/>
      <c r="AB8" s="2369"/>
      <c r="AC8" s="2369"/>
      <c r="AD8" s="2369"/>
      <c r="AE8" s="2369"/>
      <c r="AF8" s="2369"/>
      <c r="AG8" s="2369"/>
      <c r="AH8" s="2369"/>
      <c r="AI8" s="2369"/>
      <c r="AJ8" s="2369"/>
      <c r="AK8" s="2370"/>
      <c r="AL8" s="810"/>
      <c r="AM8" s="808"/>
      <c r="AN8" s="808"/>
      <c r="AO8" s="808"/>
      <c r="AP8" s="808"/>
      <c r="AQ8" s="808"/>
      <c r="AR8" s="808"/>
      <c r="AS8" s="808"/>
      <c r="AT8" s="808"/>
      <c r="AU8" s="808"/>
      <c r="AV8" s="808"/>
      <c r="AW8" s="808"/>
      <c r="AX8" s="808"/>
      <c r="AY8" s="808"/>
      <c r="AZ8" s="808"/>
      <c r="BA8" s="808"/>
      <c r="BB8" s="808"/>
      <c r="BC8" s="808"/>
      <c r="BD8" s="808"/>
      <c r="BE8" s="808"/>
      <c r="BF8" s="808"/>
    </row>
    <row r="9" spans="1:58" ht="23.25" customHeight="1">
      <c r="A9" s="806"/>
      <c r="B9" s="806"/>
      <c r="C9" s="806"/>
      <c r="E9" s="809"/>
      <c r="F9" s="2111" t="s">
        <v>1989</v>
      </c>
      <c r="G9" s="2363" t="s">
        <v>1990</v>
      </c>
      <c r="H9" s="2364"/>
      <c r="I9" s="2021" t="s">
        <v>1991</v>
      </c>
      <c r="J9" s="2021"/>
      <c r="K9" s="2021" t="s">
        <v>1992</v>
      </c>
      <c r="L9" s="2021"/>
      <c r="M9" s="2021"/>
      <c r="N9" s="2021"/>
      <c r="O9" s="2021"/>
      <c r="P9" s="2021"/>
      <c r="Q9" s="2021"/>
      <c r="R9" s="2021"/>
      <c r="S9" s="2021"/>
      <c r="T9" s="2021"/>
      <c r="U9" s="2021"/>
      <c r="V9" s="2021"/>
      <c r="W9" s="2021"/>
      <c r="X9" s="2021"/>
      <c r="Y9" s="2021"/>
      <c r="Z9" s="2081" t="s">
        <v>1993</v>
      </c>
      <c r="AA9" s="2082"/>
      <c r="AB9" s="2021" t="s">
        <v>1994</v>
      </c>
      <c r="AC9" s="2021"/>
      <c r="AD9" s="2021"/>
      <c r="AE9" s="2021"/>
      <c r="AF9" s="2080" t="s">
        <v>1995</v>
      </c>
      <c r="AG9" s="2021" t="s">
        <v>1996</v>
      </c>
      <c r="AH9" s="2021"/>
      <c r="AI9" s="2080" t="s">
        <v>1997</v>
      </c>
      <c r="AJ9" s="2021" t="s">
        <v>1998</v>
      </c>
      <c r="AK9" s="2021"/>
      <c r="AL9" s="1020"/>
      <c r="AM9" s="808"/>
      <c r="AN9" s="808"/>
      <c r="AO9" s="808"/>
      <c r="AP9" s="808"/>
      <c r="AQ9" s="808"/>
      <c r="AR9" s="808"/>
      <c r="AS9" s="808"/>
      <c r="AT9" s="808"/>
      <c r="AU9" s="808"/>
      <c r="AV9" s="808"/>
      <c r="AW9" s="808"/>
      <c r="AX9" s="808"/>
      <c r="AY9" s="808"/>
      <c r="AZ9" s="808"/>
      <c r="BA9" s="808"/>
      <c r="BB9" s="808"/>
      <c r="BC9" s="808"/>
      <c r="BD9" s="808"/>
      <c r="BE9" s="808"/>
      <c r="BF9" s="808"/>
    </row>
    <row r="10" spans="1:58" ht="23.25" customHeight="1">
      <c r="A10" s="806"/>
      <c r="B10" s="806"/>
      <c r="C10" s="806"/>
      <c r="E10" s="813"/>
      <c r="F10" s="2111"/>
      <c r="G10" s="2365"/>
      <c r="H10" s="2112"/>
      <c r="I10" s="2021"/>
      <c r="J10" s="2021"/>
      <c r="K10" s="2021" t="s">
        <v>1999</v>
      </c>
      <c r="L10" s="2003" t="s">
        <v>2000</v>
      </c>
      <c r="M10" s="2002"/>
      <c r="N10" s="2021" t="s">
        <v>2001</v>
      </c>
      <c r="O10" s="2021"/>
      <c r="P10" s="2021"/>
      <c r="Q10" s="2021"/>
      <c r="R10" s="2021"/>
      <c r="S10" s="2021"/>
      <c r="T10" s="2021"/>
      <c r="U10" s="2021"/>
      <c r="V10" s="2021"/>
      <c r="W10" s="2021"/>
      <c r="X10" s="2021"/>
      <c r="Y10" s="2021"/>
      <c r="Z10" s="2083"/>
      <c r="AA10" s="2084"/>
      <c r="AB10" s="2021"/>
      <c r="AC10" s="2021"/>
      <c r="AD10" s="2021"/>
      <c r="AE10" s="2021"/>
      <c r="AF10" s="2085"/>
      <c r="AG10" s="2021"/>
      <c r="AH10" s="2021"/>
      <c r="AI10" s="2085"/>
      <c r="AJ10" s="2021"/>
      <c r="AK10" s="2021"/>
      <c r="AL10" s="1020"/>
      <c r="AM10" s="814"/>
      <c r="AN10" s="814"/>
      <c r="AO10" s="814"/>
      <c r="AP10" s="814"/>
      <c r="AQ10" s="814"/>
      <c r="AR10" s="814"/>
      <c r="AS10" s="814"/>
      <c r="AT10" s="814"/>
      <c r="AU10" s="814"/>
      <c r="AV10" s="814"/>
      <c r="AW10" s="814"/>
      <c r="AX10" s="814"/>
      <c r="AY10" s="814"/>
      <c r="AZ10" s="814"/>
      <c r="BA10" s="814"/>
      <c r="BB10" s="814"/>
      <c r="BC10" s="814"/>
      <c r="BD10" s="814"/>
      <c r="BE10" s="814"/>
      <c r="BF10" s="814"/>
    </row>
    <row r="11" spans="1:58" s="1846" customFormat="1" ht="23.25" customHeight="1">
      <c r="A11" s="1008"/>
      <c r="B11" s="1008"/>
      <c r="C11" s="1008"/>
      <c r="D11" s="1007"/>
      <c r="E11" s="1009"/>
      <c r="F11" s="2111"/>
      <c r="G11" s="2365"/>
      <c r="H11" s="2112"/>
      <c r="I11" s="2021"/>
      <c r="J11" s="2021"/>
      <c r="K11" s="2021"/>
      <c r="L11" s="2080" t="s">
        <v>2002</v>
      </c>
      <c r="M11" s="2080" t="s">
        <v>2003</v>
      </c>
      <c r="N11" s="2021" t="s">
        <v>2004</v>
      </c>
      <c r="O11" s="2021"/>
      <c r="P11" s="2078" t="s">
        <v>1979</v>
      </c>
      <c r="Q11" s="2078" t="s">
        <v>2005</v>
      </c>
      <c r="R11" s="2078" t="s">
        <v>2006</v>
      </c>
      <c r="S11" s="2078" t="s">
        <v>2007</v>
      </c>
      <c r="T11" s="2078"/>
      <c r="U11" s="2078"/>
      <c r="V11" s="2078"/>
      <c r="W11" s="2078"/>
      <c r="X11" s="2078"/>
      <c r="Y11" s="2078"/>
      <c r="Z11" s="2083"/>
      <c r="AA11" s="2084"/>
      <c r="AB11" s="2021" t="s">
        <v>2008</v>
      </c>
      <c r="AC11" s="2021"/>
      <c r="AD11" s="2003" t="s">
        <v>2009</v>
      </c>
      <c r="AE11" s="2002"/>
      <c r="AF11" s="2085"/>
      <c r="AG11" s="2021"/>
      <c r="AH11" s="2021"/>
      <c r="AI11" s="2085"/>
      <c r="AJ11" s="2021"/>
      <c r="AK11" s="2021"/>
      <c r="AL11" s="1020"/>
      <c r="AM11" s="1006"/>
      <c r="AN11" s="1006"/>
      <c r="AO11" s="1006"/>
      <c r="AP11" s="1006"/>
      <c r="AQ11" s="1006"/>
      <c r="AR11" s="1006"/>
      <c r="AS11" s="1006"/>
      <c r="AT11" s="1006"/>
      <c r="AU11" s="1006"/>
      <c r="AV11" s="1006"/>
      <c r="AW11" s="1006"/>
      <c r="AX11" s="1006"/>
      <c r="AY11" s="1006"/>
      <c r="AZ11" s="1006"/>
      <c r="BA11" s="1006"/>
      <c r="BB11" s="1006"/>
      <c r="BC11" s="1006"/>
      <c r="BD11" s="1006"/>
      <c r="BE11" s="1006"/>
      <c r="BF11" s="1006"/>
    </row>
    <row r="12" spans="1:58" ht="33.75" customHeight="1">
      <c r="A12" s="806"/>
      <c r="B12" s="806"/>
      <c r="C12" s="806"/>
      <c r="E12" s="809"/>
      <c r="F12" s="2111"/>
      <c r="G12" s="2366"/>
      <c r="H12" s="2367"/>
      <c r="I12" s="1029" t="s">
        <v>89</v>
      </c>
      <c r="J12" s="1029" t="s">
        <v>2010</v>
      </c>
      <c r="K12" s="2021"/>
      <c r="L12" s="2136"/>
      <c r="M12" s="2136"/>
      <c r="N12" s="2021"/>
      <c r="O12" s="2021"/>
      <c r="P12" s="2078"/>
      <c r="Q12" s="2078"/>
      <c r="R12" s="2078"/>
      <c r="S12" s="1013" t="s">
        <v>86</v>
      </c>
      <c r="T12" s="1013" t="s">
        <v>87</v>
      </c>
      <c r="U12" s="1013" t="s">
        <v>85</v>
      </c>
      <c r="V12" s="1013" t="s">
        <v>2011</v>
      </c>
      <c r="W12" s="1013" t="s">
        <v>85</v>
      </c>
      <c r="X12" s="1013" t="s">
        <v>2012</v>
      </c>
      <c r="Y12" s="1013" t="s">
        <v>2013</v>
      </c>
      <c r="Z12" s="2086"/>
      <c r="AA12" s="2087"/>
      <c r="AB12" s="1019" t="s">
        <v>2014</v>
      </c>
      <c r="AC12" s="1019" t="s">
        <v>2015</v>
      </c>
      <c r="AD12" s="1019" t="s">
        <v>2014</v>
      </c>
      <c r="AE12" s="1019" t="s">
        <v>2015</v>
      </c>
      <c r="AF12" s="2136"/>
      <c r="AG12" s="1030" t="s">
        <v>2016</v>
      </c>
      <c r="AH12" s="1030" t="s">
        <v>2017</v>
      </c>
      <c r="AI12" s="2136"/>
      <c r="AJ12" s="1030" t="s">
        <v>2016</v>
      </c>
      <c r="AK12" s="1030" t="s">
        <v>2017</v>
      </c>
      <c r="AL12" s="1020"/>
      <c r="AM12" s="808"/>
      <c r="AN12" s="808"/>
      <c r="AO12" s="808"/>
      <c r="AP12" s="808"/>
      <c r="AQ12" s="808"/>
      <c r="AR12" s="808"/>
      <c r="AS12" s="808"/>
      <c r="AT12" s="808"/>
      <c r="AU12" s="808"/>
      <c r="AV12" s="808"/>
      <c r="AW12" s="808"/>
      <c r="AX12" s="808"/>
      <c r="AY12" s="808"/>
      <c r="AZ12" s="808"/>
      <c r="BA12" s="808"/>
      <c r="BB12" s="808"/>
      <c r="BC12" s="808"/>
      <c r="BD12" s="808"/>
      <c r="BE12" s="808"/>
      <c r="BF12" s="808"/>
    </row>
    <row r="13" spans="1:58" ht="0.75" customHeight="1">
      <c r="E13" s="809"/>
      <c r="F13" s="1004">
        <v>0</v>
      </c>
      <c r="G13" s="1004"/>
      <c r="H13" s="1004"/>
      <c r="I13" s="1004"/>
      <c r="J13" s="1004"/>
      <c r="K13" s="1010"/>
      <c r="L13" s="1010"/>
      <c r="M13" s="1010"/>
      <c r="N13" s="1010"/>
      <c r="O13" s="1010"/>
      <c r="P13" s="1010"/>
      <c r="Q13" s="1010"/>
      <c r="R13" s="1010"/>
      <c r="S13" s="1010"/>
      <c r="T13" s="1010"/>
      <c r="U13" s="1010"/>
      <c r="V13" s="1010"/>
      <c r="W13" s="1010"/>
      <c r="X13" s="1010"/>
      <c r="Y13" s="1010"/>
      <c r="Z13" s="1010"/>
      <c r="AA13" s="1010"/>
      <c r="AB13" s="1010"/>
      <c r="AC13" s="1010"/>
      <c r="AD13" s="1010"/>
      <c r="AE13" s="1010"/>
      <c r="AF13" s="1010"/>
      <c r="AG13" s="1010"/>
      <c r="AH13" s="1026"/>
      <c r="AI13" s="1020"/>
      <c r="AJ13" s="1010"/>
      <c r="AK13" s="1010"/>
      <c r="AL13" s="810"/>
      <c r="AM13" s="808"/>
      <c r="AN13" s="808"/>
      <c r="AO13" s="808"/>
      <c r="AP13" s="808"/>
      <c r="AQ13" s="808"/>
      <c r="AR13" s="808"/>
      <c r="AS13" s="808"/>
      <c r="AT13" s="808"/>
      <c r="AU13" s="808"/>
      <c r="AV13" s="808"/>
      <c r="AW13" s="808"/>
      <c r="AX13" s="808"/>
      <c r="AY13" s="808"/>
      <c r="AZ13" s="808"/>
      <c r="BA13" s="808"/>
      <c r="BB13" s="808"/>
      <c r="BC13" s="808"/>
      <c r="BD13" s="808"/>
      <c r="BE13" s="808"/>
      <c r="BF13" s="808"/>
    </row>
    <row r="14" spans="1:58" ht="21" customHeight="1">
      <c r="A14" s="1836" t="s">
        <v>1987</v>
      </c>
      <c r="C14" s="1042"/>
      <c r="D14" s="1036"/>
      <c r="E14" s="1046" t="s">
        <v>17</v>
      </c>
      <c r="F14" s="1837" t="str">
        <f>INDEX(IP_MAIN_LIST_NAME_IP,MATCH(A14,IP_MAIN_LIST_IP_ID,0))&amp;" ("&amp;INDEX(IP_MAIN_START_DATE,MATCH(A14,IP_MAIN_LIST_IP_ID,0))&amp;"-"&amp;INDEX(IP_MAIN_END_DATE,MATCH(A14,IP_MAIN_LIST_IP_ID,0))&amp;")"</f>
        <v>Инвестиционная программа № 329_318/21П/од от 29.10.2021 ООО "Автозаводская ТЭЦ" в сфере теплоснабжения в отношении объектов, на территории городского округа Нижний Новгород на 2022-2026 годы (01.01.2022-31.12.2026)</v>
      </c>
      <c r="G14" s="1838"/>
      <c r="H14" s="1838"/>
      <c r="I14" s="1839"/>
      <c r="J14" s="1839"/>
      <c r="K14" s="1840"/>
      <c r="L14" s="1840"/>
      <c r="M14" s="1840"/>
      <c r="N14" s="1841"/>
      <c r="O14" s="1841"/>
      <c r="P14" s="1841"/>
      <c r="Q14" s="1841"/>
      <c r="R14" s="1841"/>
      <c r="S14" s="1841"/>
      <c r="T14" s="1841"/>
      <c r="U14" s="1841"/>
      <c r="V14" s="1841"/>
      <c r="W14" s="1841"/>
      <c r="X14" s="1841"/>
      <c r="Y14" s="1058"/>
      <c r="Z14" s="1058"/>
      <c r="AA14" s="1058"/>
      <c r="AB14" s="1841"/>
      <c r="AC14" s="1058"/>
      <c r="AD14" s="1841"/>
      <c r="AE14" s="1842"/>
      <c r="AF14" s="1840"/>
      <c r="AG14" s="1840"/>
      <c r="AH14" s="1840"/>
      <c r="AI14" s="1840"/>
      <c r="AJ14" s="1840"/>
      <c r="AK14" s="1840"/>
      <c r="AL14" s="1843"/>
      <c r="AM14" s="1033"/>
      <c r="AN14" s="1033"/>
      <c r="AO14" s="1033"/>
      <c r="AP14" s="1033"/>
      <c r="AQ14" s="1033"/>
      <c r="AR14" s="1033"/>
      <c r="AS14" s="1033"/>
      <c r="AT14" s="1033"/>
      <c r="AU14" s="1033"/>
      <c r="AV14" s="1033"/>
      <c r="AW14" s="1033"/>
      <c r="AX14" s="1033"/>
      <c r="AY14" s="1033"/>
      <c r="AZ14" s="1033"/>
      <c r="BA14" s="1033"/>
      <c r="BB14" s="1033"/>
      <c r="BC14" s="1033"/>
      <c r="BD14" s="1033"/>
      <c r="BE14" s="1033"/>
      <c r="BF14" s="1033"/>
    </row>
    <row r="15" spans="1:58" ht="11.25" customHeight="1">
      <c r="A15" s="1821" t="s">
        <v>1987</v>
      </c>
      <c r="B15" s="1821" t="s">
        <v>17</v>
      </c>
      <c r="C15" s="1042"/>
      <c r="D15" s="1036"/>
      <c r="E15" s="1046"/>
      <c r="F15" s="2202">
        <v>2022</v>
      </c>
      <c r="G15" s="2160"/>
      <c r="H15" s="2160" t="s">
        <v>109</v>
      </c>
      <c r="I15" s="2206" t="s">
        <v>1280</v>
      </c>
      <c r="J15" s="2373" t="s">
        <v>17</v>
      </c>
      <c r="K15" s="2208"/>
      <c r="L15" s="2200" t="s">
        <v>56</v>
      </c>
      <c r="M15" s="2032"/>
      <c r="N15" s="1844"/>
      <c r="O15" s="1845" t="s">
        <v>370</v>
      </c>
      <c r="P15" s="1844"/>
      <c r="Q15" s="1844"/>
      <c r="R15" s="1844"/>
      <c r="S15" s="1844"/>
      <c r="T15" s="1844"/>
      <c r="U15" s="1844"/>
      <c r="V15" s="1844"/>
      <c r="W15" s="1844"/>
      <c r="X15" s="1844"/>
      <c r="Y15" s="1053"/>
      <c r="Z15" s="1053"/>
      <c r="AA15" s="1053"/>
      <c r="AB15" s="1844"/>
      <c r="AC15" s="1053"/>
      <c r="AD15" s="1844"/>
      <c r="AE15" s="1844"/>
      <c r="AF15" s="2204">
        <v>5</v>
      </c>
      <c r="AG15" s="2200" t="s">
        <v>1002</v>
      </c>
      <c r="AH15" s="2200" t="s">
        <v>2018</v>
      </c>
      <c r="AI15" s="2204">
        <v>0</v>
      </c>
      <c r="AJ15" s="2200" t="s">
        <v>1002</v>
      </c>
      <c r="AK15" s="2200" t="s">
        <v>2018</v>
      </c>
      <c r="AM15" s="1033"/>
      <c r="AN15" s="1033"/>
      <c r="AO15" s="1033"/>
      <c r="AP15" s="1033"/>
      <c r="AQ15" s="1033"/>
      <c r="AR15" s="1033"/>
      <c r="AS15" s="1033"/>
      <c r="AT15" s="1033"/>
      <c r="AU15" s="1033"/>
      <c r="AV15" s="1033"/>
      <c r="AW15" s="1033"/>
      <c r="AX15" s="1033"/>
      <c r="AY15" s="1033"/>
      <c r="AZ15" s="1033"/>
      <c r="BA15" s="1033"/>
      <c r="BB15" s="1033"/>
      <c r="BC15" s="1033"/>
      <c r="BD15" s="1033"/>
      <c r="BE15" s="1033"/>
      <c r="BF15" s="1033"/>
    </row>
    <row r="16" spans="1:58" ht="11.25" customHeight="1">
      <c r="A16" s="1821" t="s">
        <v>1987</v>
      </c>
      <c r="C16" s="1042"/>
      <c r="D16" s="1036"/>
      <c r="E16" s="1046"/>
      <c r="F16" s="2202"/>
      <c r="G16" s="2160"/>
      <c r="H16" s="2160"/>
      <c r="I16" s="2206"/>
      <c r="J16" s="2373"/>
      <c r="K16" s="2208"/>
      <c r="L16" s="2200"/>
      <c r="M16" s="2032"/>
      <c r="N16" s="2209"/>
      <c r="O16" s="2175">
        <v>1</v>
      </c>
      <c r="P16" s="2170" t="s">
        <v>56</v>
      </c>
      <c r="Q16" s="2173" t="s">
        <v>17</v>
      </c>
      <c r="R16" s="2173" t="s">
        <v>17</v>
      </c>
      <c r="S16" s="2173" t="s">
        <v>17</v>
      </c>
      <c r="T16" s="2173" t="s">
        <v>17</v>
      </c>
      <c r="U16" s="2173" t="s">
        <v>17</v>
      </c>
      <c r="V16" s="2173" t="s">
        <v>17</v>
      </c>
      <c r="W16" s="2173" t="s">
        <v>17</v>
      </c>
      <c r="X16" s="2173" t="s">
        <v>17</v>
      </c>
      <c r="Y16" s="2173"/>
      <c r="Z16" s="1050"/>
      <c r="AA16" s="1051"/>
      <c r="AB16" s="1847"/>
      <c r="AC16" s="1661"/>
      <c r="AD16" s="1848"/>
      <c r="AE16" s="1849"/>
      <c r="AF16" s="2204"/>
      <c r="AG16" s="2200"/>
      <c r="AH16" s="2200"/>
      <c r="AI16" s="2204"/>
      <c r="AJ16" s="2200"/>
      <c r="AK16" s="2200"/>
      <c r="AM16" s="1033"/>
      <c r="AN16" s="1033"/>
      <c r="AO16" s="1033"/>
      <c r="AP16" s="1033"/>
      <c r="AQ16" s="1033"/>
      <c r="AR16" s="1033"/>
      <c r="AS16" s="1033"/>
      <c r="AT16" s="1033"/>
      <c r="AU16" s="1033"/>
      <c r="AV16" s="1033"/>
      <c r="AW16" s="1033"/>
      <c r="AX16" s="1033"/>
      <c r="AY16" s="1033"/>
      <c r="AZ16" s="1033"/>
      <c r="BA16" s="1033"/>
      <c r="BB16" s="1033"/>
      <c r="BC16" s="1033"/>
      <c r="BD16" s="1033"/>
      <c r="BE16" s="1033"/>
      <c r="BF16" s="1033"/>
    </row>
    <row r="17" spans="1:58" ht="11.25" customHeight="1">
      <c r="A17" s="1821" t="s">
        <v>1987</v>
      </c>
      <c r="C17" s="1042"/>
      <c r="D17" s="1036"/>
      <c r="E17" s="1046"/>
      <c r="F17" s="2202"/>
      <c r="G17" s="2160"/>
      <c r="H17" s="2160"/>
      <c r="I17" s="2206"/>
      <c r="J17" s="2373"/>
      <c r="K17" s="2208"/>
      <c r="L17" s="2200"/>
      <c r="M17" s="2032"/>
      <c r="N17" s="2209"/>
      <c r="O17" s="2175"/>
      <c r="P17" s="2171"/>
      <c r="Q17" s="2173"/>
      <c r="R17" s="2173"/>
      <c r="S17" s="2205"/>
      <c r="T17" s="2173"/>
      <c r="U17" s="2173"/>
      <c r="V17" s="2173"/>
      <c r="W17" s="2173"/>
      <c r="X17" s="2173"/>
      <c r="Y17" s="2173"/>
      <c r="Z17" s="1054"/>
      <c r="AA17" s="1055">
        <v>1</v>
      </c>
      <c r="AB17" s="1850" t="s">
        <v>888</v>
      </c>
      <c r="AC17" s="1045">
        <v>18323.42829</v>
      </c>
      <c r="AD17" s="1663" t="str">
        <f>AB17</f>
        <v xml:space="preserve">  Прибыль направляемая на инвестиции</v>
      </c>
      <c r="AE17" s="1851">
        <v>16920.560249999999</v>
      </c>
      <c r="AF17" s="2204"/>
      <c r="AG17" s="2200"/>
      <c r="AH17" s="2200"/>
      <c r="AI17" s="2204"/>
      <c r="AJ17" s="2200"/>
      <c r="AK17" s="2200"/>
      <c r="AM17" s="1033"/>
      <c r="AN17" s="1033"/>
      <c r="AO17" s="1033"/>
      <c r="AP17" s="1033"/>
      <c r="AQ17" s="1033"/>
      <c r="AR17" s="1033"/>
      <c r="AS17" s="1033"/>
      <c r="AT17" s="1033"/>
      <c r="AU17" s="1033"/>
      <c r="AV17" s="1033"/>
      <c r="AW17" s="1033"/>
      <c r="AX17" s="1033"/>
      <c r="AY17" s="1033"/>
      <c r="AZ17" s="1033"/>
      <c r="BA17" s="1033"/>
      <c r="BB17" s="1033"/>
      <c r="BC17" s="1033"/>
      <c r="BD17" s="1033"/>
      <c r="BE17" s="1033"/>
      <c r="BF17" s="1033"/>
    </row>
    <row r="18" spans="1:58" ht="11.25" customHeight="1">
      <c r="A18" s="1821" t="s">
        <v>1987</v>
      </c>
      <c r="C18" s="1042"/>
      <c r="D18" s="1036"/>
      <c r="E18" s="1046"/>
      <c r="F18" s="2202"/>
      <c r="G18" s="2160"/>
      <c r="H18" s="2160"/>
      <c r="I18" s="2206"/>
      <c r="J18" s="2373"/>
      <c r="K18" s="2208"/>
      <c r="L18" s="2200"/>
      <c r="M18" s="2032"/>
      <c r="N18" s="2209"/>
      <c r="O18" s="2175"/>
      <c r="P18" s="2172"/>
      <c r="Q18" s="2173"/>
      <c r="R18" s="2173"/>
      <c r="S18" s="2205"/>
      <c r="T18" s="2173"/>
      <c r="U18" s="2173"/>
      <c r="V18" s="2173"/>
      <c r="W18" s="2173"/>
      <c r="X18" s="2173"/>
      <c r="Y18" s="2173"/>
      <c r="Z18" s="1050"/>
      <c r="AA18" s="1051"/>
      <c r="AB18" s="1852" t="s">
        <v>1410</v>
      </c>
      <c r="AC18" s="1661"/>
      <c r="AD18" s="1848"/>
      <c r="AE18" s="1853"/>
      <c r="AF18" s="2204"/>
      <c r="AG18" s="2200"/>
      <c r="AH18" s="2200"/>
      <c r="AI18" s="2204"/>
      <c r="AJ18" s="2200"/>
      <c r="AK18" s="2200"/>
      <c r="AM18" s="1033"/>
      <c r="AN18" s="1033"/>
      <c r="AO18" s="1033"/>
      <c r="AP18" s="1033"/>
      <c r="AQ18" s="1033"/>
      <c r="AR18" s="1033"/>
      <c r="AS18" s="1033"/>
      <c r="AT18" s="1033"/>
      <c r="AU18" s="1033"/>
      <c r="AV18" s="1033"/>
      <c r="AW18" s="1033"/>
      <c r="AX18" s="1033"/>
      <c r="AY18" s="1033"/>
      <c r="AZ18" s="1033"/>
      <c r="BA18" s="1033"/>
      <c r="BB18" s="1033"/>
      <c r="BC18" s="1033"/>
      <c r="BD18" s="1033"/>
      <c r="BE18" s="1033"/>
      <c r="BF18" s="1033"/>
    </row>
    <row r="19" spans="1:58" ht="11.25" customHeight="1">
      <c r="A19" s="1821" t="s">
        <v>1987</v>
      </c>
      <c r="C19" s="1042"/>
      <c r="D19" s="1036"/>
      <c r="E19" s="1046"/>
      <c r="F19" s="2202"/>
      <c r="G19" s="2160"/>
      <c r="H19" s="2160"/>
      <c r="I19" s="2206"/>
      <c r="J19" s="2373"/>
      <c r="K19" s="2208"/>
      <c r="L19" s="2200"/>
      <c r="M19" s="2032"/>
      <c r="N19" s="1847"/>
      <c r="O19" s="1847"/>
      <c r="P19" s="1854" t="s">
        <v>1411</v>
      </c>
      <c r="Q19" s="1847"/>
      <c r="R19" s="1847"/>
      <c r="S19" s="1847"/>
      <c r="T19" s="1847"/>
      <c r="U19" s="1847"/>
      <c r="V19" s="1847"/>
      <c r="W19" s="1847"/>
      <c r="X19" s="1847"/>
      <c r="Y19" s="1051"/>
      <c r="Z19" s="1051"/>
      <c r="AA19" s="1051"/>
      <c r="AB19" s="1847"/>
      <c r="AC19" s="1051"/>
      <c r="AD19" s="1847"/>
      <c r="AE19" s="1855"/>
      <c r="AF19" s="2204"/>
      <c r="AG19" s="2200"/>
      <c r="AH19" s="2200"/>
      <c r="AI19" s="2204"/>
      <c r="AJ19" s="2200"/>
      <c r="AK19" s="2200"/>
      <c r="AM19" s="1033"/>
      <c r="AN19" s="1033"/>
      <c r="AO19" s="1033"/>
      <c r="AP19" s="1033"/>
      <c r="AQ19" s="1033"/>
      <c r="AR19" s="1033"/>
      <c r="AS19" s="1033"/>
      <c r="AT19" s="1033"/>
      <c r="AU19" s="1033"/>
      <c r="AV19" s="1033"/>
      <c r="AW19" s="1033"/>
      <c r="AX19" s="1033"/>
      <c r="AY19" s="1033"/>
      <c r="AZ19" s="1033"/>
      <c r="BA19" s="1033"/>
      <c r="BB19" s="1033"/>
      <c r="BC19" s="1033"/>
      <c r="BD19" s="1033"/>
      <c r="BE19" s="1033"/>
      <c r="BF19" s="1033"/>
    </row>
    <row r="20" spans="1:58" ht="11.25" customHeight="1">
      <c r="A20" s="1042" t="s">
        <v>1987</v>
      </c>
      <c r="B20" s="1042" t="s">
        <v>1337</v>
      </c>
      <c r="C20" s="1042"/>
      <c r="D20" s="1036"/>
      <c r="E20" s="1046"/>
      <c r="F20" s="2371"/>
      <c r="G20" s="2360" t="s">
        <v>1109</v>
      </c>
      <c r="H20" s="2160" t="s">
        <v>110</v>
      </c>
      <c r="I20" s="2206" t="s">
        <v>1285</v>
      </c>
      <c r="J20" s="2207" t="s">
        <v>1345</v>
      </c>
      <c r="K20" s="2208"/>
      <c r="L20" s="2200" t="s">
        <v>56</v>
      </c>
      <c r="M20" s="2032"/>
      <c r="N20" s="1053"/>
      <c r="O20" s="1052" t="s">
        <v>370</v>
      </c>
      <c r="P20" s="1053"/>
      <c r="Q20" s="1053"/>
      <c r="R20" s="1053"/>
      <c r="S20" s="1053"/>
      <c r="T20" s="1053"/>
      <c r="U20" s="1053"/>
      <c r="V20" s="1053"/>
      <c r="W20" s="1053"/>
      <c r="X20" s="1053"/>
      <c r="Y20" s="1053"/>
      <c r="Z20" s="1053"/>
      <c r="AA20" s="1053"/>
      <c r="AB20" s="1053"/>
      <c r="AC20" s="1053"/>
      <c r="AD20" s="1053"/>
      <c r="AE20" s="1053"/>
      <c r="AF20" s="2204">
        <v>5</v>
      </c>
      <c r="AG20" s="2200" t="s">
        <v>1002</v>
      </c>
      <c r="AH20" s="2200" t="s">
        <v>2018</v>
      </c>
      <c r="AI20" s="2204">
        <v>0</v>
      </c>
      <c r="AJ20" s="2200" t="s">
        <v>1002</v>
      </c>
      <c r="AK20" s="2200" t="s">
        <v>2018</v>
      </c>
      <c r="AL20" s="1048"/>
      <c r="AM20" s="1033"/>
      <c r="AN20" s="1033"/>
      <c r="AO20" s="1033"/>
      <c r="AP20" s="1033"/>
      <c r="AQ20" s="1033"/>
      <c r="AR20" s="1033"/>
      <c r="AS20" s="1033"/>
      <c r="AT20" s="1033"/>
      <c r="AU20" s="1033"/>
      <c r="AV20" s="1033"/>
      <c r="AW20" s="1033"/>
      <c r="AX20" s="1033"/>
      <c r="AY20" s="1033"/>
      <c r="AZ20" s="1033"/>
      <c r="BA20" s="1033"/>
      <c r="BB20" s="1033"/>
      <c r="BC20" s="1033"/>
      <c r="BD20" s="1033"/>
      <c r="BE20" s="1033"/>
      <c r="BF20" s="1033"/>
    </row>
    <row r="21" spans="1:58" ht="11.25" customHeight="1">
      <c r="A21" s="1042" t="s">
        <v>1987</v>
      </c>
      <c r="B21" s="1042"/>
      <c r="C21" s="1042"/>
      <c r="D21" s="1036"/>
      <c r="E21" s="1046"/>
      <c r="F21" s="2371"/>
      <c r="G21" s="2376"/>
      <c r="H21" s="2160" t="s">
        <v>109</v>
      </c>
      <c r="I21" s="2206"/>
      <c r="J21" s="2207"/>
      <c r="K21" s="2208"/>
      <c r="L21" s="2200"/>
      <c r="M21" s="2032"/>
      <c r="N21" s="2209"/>
      <c r="O21" s="2175">
        <v>1</v>
      </c>
      <c r="P21" s="2170" t="s">
        <v>56</v>
      </c>
      <c r="Q21" s="2173" t="s">
        <v>17</v>
      </c>
      <c r="R21" s="2173" t="s">
        <v>17</v>
      </c>
      <c r="S21" s="2173" t="s">
        <v>17</v>
      </c>
      <c r="T21" s="2173" t="s">
        <v>17</v>
      </c>
      <c r="U21" s="2173" t="s">
        <v>17</v>
      </c>
      <c r="V21" s="2173" t="s">
        <v>17</v>
      </c>
      <c r="W21" s="2173" t="s">
        <v>17</v>
      </c>
      <c r="X21" s="2173" t="s">
        <v>17</v>
      </c>
      <c r="Y21" s="2173"/>
      <c r="Z21" s="1050"/>
      <c r="AA21" s="1051"/>
      <c r="AB21" s="1051"/>
      <c r="AC21" s="1661"/>
      <c r="AD21" s="1661"/>
      <c r="AE21" s="1662"/>
      <c r="AF21" s="2204"/>
      <c r="AG21" s="2200"/>
      <c r="AH21" s="2200"/>
      <c r="AI21" s="2204"/>
      <c r="AJ21" s="2200"/>
      <c r="AK21" s="2200"/>
      <c r="AL21" s="1048"/>
      <c r="AM21" s="1033"/>
      <c r="AN21" s="1033"/>
      <c r="AO21" s="1033"/>
      <c r="AP21" s="1033"/>
      <c r="AQ21" s="1033"/>
      <c r="AR21" s="1033"/>
      <c r="AS21" s="1033"/>
      <c r="AT21" s="1033"/>
      <c r="AU21" s="1033"/>
      <c r="AV21" s="1033"/>
      <c r="AW21" s="1033"/>
      <c r="AX21" s="1033"/>
      <c r="AY21" s="1033"/>
      <c r="AZ21" s="1033"/>
      <c r="BA21" s="1033"/>
      <c r="BB21" s="1033"/>
      <c r="BC21" s="1033"/>
      <c r="BD21" s="1033"/>
      <c r="BE21" s="1033"/>
      <c r="BF21" s="1033"/>
    </row>
    <row r="22" spans="1:58" ht="11.25" customHeight="1">
      <c r="A22" s="1042" t="s">
        <v>1987</v>
      </c>
      <c r="B22" s="1042"/>
      <c r="C22" s="1042"/>
      <c r="D22" s="1036"/>
      <c r="E22" s="1046"/>
      <c r="F22" s="2371"/>
      <c r="G22" s="2376"/>
      <c r="H22" s="2160" t="s">
        <v>109</v>
      </c>
      <c r="I22" s="2206"/>
      <c r="J22" s="2207"/>
      <c r="K22" s="2208"/>
      <c r="L22" s="2200"/>
      <c r="M22" s="2032"/>
      <c r="N22" s="2209"/>
      <c r="O22" s="2175"/>
      <c r="P22" s="2171"/>
      <c r="Q22" s="2173"/>
      <c r="R22" s="2173"/>
      <c r="S22" s="2205"/>
      <c r="T22" s="2173"/>
      <c r="U22" s="2173"/>
      <c r="V22" s="2173"/>
      <c r="W22" s="2173"/>
      <c r="X22" s="2173"/>
      <c r="Y22" s="2173"/>
      <c r="Z22" s="1054"/>
      <c r="AA22" s="1617">
        <v>1</v>
      </c>
      <c r="AB22" s="1663" t="s">
        <v>888</v>
      </c>
      <c r="AC22" s="1045">
        <v>189839.64064272601</v>
      </c>
      <c r="AD22" s="1663" t="str">
        <f>AB22</f>
        <v xml:space="preserve">  Прибыль направляемая на инвестиции</v>
      </c>
      <c r="AE22" s="1045">
        <v>224058.05055000001</v>
      </c>
      <c r="AF22" s="2204"/>
      <c r="AG22" s="2200"/>
      <c r="AH22" s="2200"/>
      <c r="AI22" s="2204"/>
      <c r="AJ22" s="2200"/>
      <c r="AK22" s="2200"/>
      <c r="AL22" s="1048"/>
      <c r="AM22" s="1033"/>
      <c r="AN22" s="1033"/>
      <c r="AO22" s="1033"/>
      <c r="AP22" s="1033"/>
      <c r="AQ22" s="1033"/>
      <c r="AR22" s="1033"/>
      <c r="AS22" s="1033"/>
      <c r="AT22" s="1033"/>
      <c r="AU22" s="1033"/>
      <c r="AV22" s="1033"/>
      <c r="AW22" s="1033"/>
      <c r="AX22" s="1033"/>
      <c r="AY22" s="1033"/>
      <c r="AZ22" s="1033"/>
      <c r="BA22" s="1033"/>
      <c r="BB22" s="1033"/>
      <c r="BC22" s="1033"/>
      <c r="BD22" s="1033"/>
      <c r="BE22" s="1033"/>
      <c r="BF22" s="1033"/>
    </row>
    <row r="23" spans="1:58" ht="11.25" customHeight="1">
      <c r="A23" s="1042" t="s">
        <v>1987</v>
      </c>
      <c r="B23" s="1042"/>
      <c r="C23" s="1042"/>
      <c r="D23" s="1036"/>
      <c r="E23" s="1046"/>
      <c r="F23" s="2372"/>
      <c r="G23" s="2372"/>
      <c r="H23" s="2372"/>
      <c r="I23" s="2372"/>
      <c r="J23" s="2372"/>
      <c r="K23" s="2372"/>
      <c r="L23" s="2372"/>
      <c r="M23" s="2372"/>
      <c r="N23" s="2372"/>
      <c r="O23" s="2372"/>
      <c r="P23" s="2372"/>
      <c r="Q23" s="2372"/>
      <c r="R23" s="2372"/>
      <c r="S23" s="2372"/>
      <c r="T23" s="2372"/>
      <c r="U23" s="2372"/>
      <c r="V23" s="2372"/>
      <c r="W23" s="2372"/>
      <c r="X23" s="2372"/>
      <c r="Y23" s="2372"/>
      <c r="Z23" s="1704" t="s">
        <v>1109</v>
      </c>
      <c r="AA23" s="1617" t="s">
        <v>110</v>
      </c>
      <c r="AB23" s="1663" t="s">
        <v>925</v>
      </c>
      <c r="AC23" s="1045">
        <v>34181.855427274502</v>
      </c>
      <c r="AD23" s="1663" t="str">
        <f>AB23</f>
        <v xml:space="preserve">      Амортизационные отчисления с выделением результатов переоценки основных средств и нематериальных активов</v>
      </c>
      <c r="AE23" s="1045">
        <v>0</v>
      </c>
      <c r="AF23" s="2374"/>
      <c r="AG23" s="2375"/>
      <c r="AH23" s="2375"/>
      <c r="AI23" s="2374"/>
      <c r="AJ23" s="2375"/>
      <c r="AK23" s="2375"/>
      <c r="AL23" s="1048"/>
      <c r="AM23" s="1033"/>
      <c r="AN23" s="1033"/>
      <c r="AO23" s="1033"/>
      <c r="AP23" s="1033"/>
      <c r="AQ23" s="1033"/>
      <c r="AR23" s="1033"/>
      <c r="AS23" s="1033"/>
      <c r="AT23" s="1033"/>
      <c r="AU23" s="1033"/>
      <c r="AV23" s="1033"/>
      <c r="AW23" s="1033"/>
      <c r="AX23" s="1033"/>
      <c r="AY23" s="1033"/>
      <c r="AZ23" s="1033"/>
      <c r="BA23" s="1033"/>
      <c r="BB23" s="1033"/>
      <c r="BC23" s="1033"/>
      <c r="BD23" s="1033"/>
      <c r="BE23" s="1033"/>
      <c r="BF23" s="1033"/>
    </row>
    <row r="24" spans="1:58" ht="11.25" customHeight="1">
      <c r="A24" s="1042" t="s">
        <v>1987</v>
      </c>
      <c r="B24" s="1042"/>
      <c r="C24" s="1042"/>
      <c r="D24" s="1036"/>
      <c r="E24" s="1046"/>
      <c r="F24" s="2371"/>
      <c r="G24" s="2376"/>
      <c r="H24" s="2160" t="s">
        <v>109</v>
      </c>
      <c r="I24" s="2206"/>
      <c r="J24" s="2207"/>
      <c r="K24" s="2208"/>
      <c r="L24" s="2200"/>
      <c r="M24" s="2032"/>
      <c r="N24" s="2209"/>
      <c r="O24" s="2175"/>
      <c r="P24" s="2172"/>
      <c r="Q24" s="2173"/>
      <c r="R24" s="2173"/>
      <c r="S24" s="2205"/>
      <c r="T24" s="2173"/>
      <c r="U24" s="2173"/>
      <c r="V24" s="2173"/>
      <c r="W24" s="2173"/>
      <c r="X24" s="2173"/>
      <c r="Y24" s="2173"/>
      <c r="Z24" s="1050"/>
      <c r="AA24" s="1051"/>
      <c r="AB24" s="1114" t="s">
        <v>1410</v>
      </c>
      <c r="AC24" s="1661"/>
      <c r="AD24" s="1661"/>
      <c r="AE24" s="1664"/>
      <c r="AF24" s="2204"/>
      <c r="AG24" s="2200"/>
      <c r="AH24" s="2200"/>
      <c r="AI24" s="2204"/>
      <c r="AJ24" s="2200"/>
      <c r="AK24" s="2200"/>
      <c r="AL24" s="1048"/>
      <c r="AM24" s="1033"/>
      <c r="AN24" s="1033"/>
      <c r="AO24" s="1033"/>
      <c r="AP24" s="1033"/>
      <c r="AQ24" s="1033"/>
      <c r="AR24" s="1033"/>
      <c r="AS24" s="1033"/>
      <c r="AT24" s="1033"/>
      <c r="AU24" s="1033"/>
      <c r="AV24" s="1033"/>
      <c r="AW24" s="1033"/>
      <c r="AX24" s="1033"/>
      <c r="AY24" s="1033"/>
      <c r="AZ24" s="1033"/>
      <c r="BA24" s="1033"/>
      <c r="BB24" s="1033"/>
      <c r="BC24" s="1033"/>
      <c r="BD24" s="1033"/>
      <c r="BE24" s="1033"/>
      <c r="BF24" s="1033"/>
    </row>
    <row r="25" spans="1:58" ht="11.25" customHeight="1">
      <c r="A25" s="1042" t="s">
        <v>1987</v>
      </c>
      <c r="B25" s="1042"/>
      <c r="C25" s="1042"/>
      <c r="D25" s="1036"/>
      <c r="E25" s="1046"/>
      <c r="F25" s="2371"/>
      <c r="G25" s="2376"/>
      <c r="H25" s="2160" t="s">
        <v>109</v>
      </c>
      <c r="I25" s="2206"/>
      <c r="J25" s="2207"/>
      <c r="K25" s="2208"/>
      <c r="L25" s="2200"/>
      <c r="M25" s="2032"/>
      <c r="N25" s="1051"/>
      <c r="O25" s="1051"/>
      <c r="P25" s="1044" t="s">
        <v>1411</v>
      </c>
      <c r="Q25" s="1051"/>
      <c r="R25" s="1051"/>
      <c r="S25" s="1051"/>
      <c r="T25" s="1051"/>
      <c r="U25" s="1051"/>
      <c r="V25" s="1051"/>
      <c r="W25" s="1051"/>
      <c r="X25" s="1051"/>
      <c r="Y25" s="1051"/>
      <c r="Z25" s="1051"/>
      <c r="AA25" s="1051"/>
      <c r="AB25" s="1051"/>
      <c r="AC25" s="1051"/>
      <c r="AD25" s="1051"/>
      <c r="AE25" s="1056"/>
      <c r="AF25" s="2204"/>
      <c r="AG25" s="2200"/>
      <c r="AH25" s="2200"/>
      <c r="AI25" s="2204"/>
      <c r="AJ25" s="2200"/>
      <c r="AK25" s="2200"/>
      <c r="AL25" s="1048"/>
      <c r="AM25" s="1033"/>
      <c r="AN25" s="1033"/>
      <c r="AO25" s="1033"/>
      <c r="AP25" s="1033"/>
      <c r="AQ25" s="1033"/>
      <c r="AR25" s="1033"/>
      <c r="AS25" s="1033"/>
      <c r="AT25" s="1033"/>
      <c r="AU25" s="1033"/>
      <c r="AV25" s="1033"/>
      <c r="AW25" s="1033"/>
      <c r="AX25" s="1033"/>
      <c r="AY25" s="1033"/>
      <c r="AZ25" s="1033"/>
      <c r="BA25" s="1033"/>
      <c r="BB25" s="1033"/>
      <c r="BC25" s="1033"/>
      <c r="BD25" s="1033"/>
      <c r="BE25" s="1033"/>
      <c r="BF25" s="1033"/>
    </row>
    <row r="26" spans="1:58" ht="12" customHeight="1">
      <c r="A26" s="1821" t="s">
        <v>1987</v>
      </c>
      <c r="C26" s="1042"/>
      <c r="D26" s="1036"/>
      <c r="E26" s="1046"/>
      <c r="F26" s="2203"/>
      <c r="G26" s="1856"/>
      <c r="H26" s="1856"/>
      <c r="I26" s="2201" t="s">
        <v>1412</v>
      </c>
      <c r="J26" s="2201"/>
      <c r="K26" s="2201"/>
      <c r="L26" s="1857"/>
      <c r="M26" s="1857"/>
      <c r="N26" s="1858"/>
      <c r="O26" s="1858"/>
      <c r="P26" s="1858"/>
      <c r="Q26" s="1858"/>
      <c r="R26" s="1858"/>
      <c r="S26" s="1858"/>
      <c r="T26" s="1858"/>
      <c r="U26" s="1858"/>
      <c r="V26" s="1858"/>
      <c r="W26" s="1858"/>
      <c r="X26" s="1858"/>
      <c r="Y26" s="1049"/>
      <c r="Z26" s="1049"/>
      <c r="AA26" s="1049"/>
      <c r="AB26" s="1858"/>
      <c r="AC26" s="1049"/>
      <c r="AD26" s="1858"/>
      <c r="AE26" s="1858"/>
      <c r="AF26" s="1858"/>
      <c r="AG26" s="1857"/>
      <c r="AH26" s="1857"/>
      <c r="AI26" s="1858"/>
      <c r="AJ26" s="1857"/>
      <c r="AK26" s="1859"/>
      <c r="AM26" s="1033"/>
      <c r="AN26" s="1033"/>
      <c r="AO26" s="1033"/>
      <c r="AP26" s="1033"/>
      <c r="AQ26" s="1033"/>
      <c r="AR26" s="1033"/>
      <c r="AS26" s="1033"/>
      <c r="AT26" s="1033"/>
      <c r="AU26" s="1033"/>
      <c r="AV26" s="1033"/>
      <c r="AW26" s="1033"/>
      <c r="AX26" s="1033"/>
      <c r="AY26" s="1033"/>
      <c r="AZ26" s="1033"/>
      <c r="BA26" s="1033"/>
      <c r="BB26" s="1033"/>
      <c r="BC26" s="1033"/>
      <c r="BD26" s="1033"/>
      <c r="BE26" s="1033"/>
      <c r="BF26" s="1033"/>
    </row>
    <row r="27" spans="1:58" ht="11.25" customHeight="1">
      <c r="A27" s="1821" t="s">
        <v>1987</v>
      </c>
      <c r="B27" s="1821" t="s">
        <v>17</v>
      </c>
      <c r="C27" s="1042"/>
      <c r="D27" s="1036"/>
      <c r="E27" s="1046"/>
      <c r="F27" s="2202">
        <v>2023</v>
      </c>
      <c r="G27" s="2160"/>
      <c r="H27" s="2160" t="s">
        <v>109</v>
      </c>
      <c r="I27" s="2206" t="s">
        <v>1280</v>
      </c>
      <c r="J27" s="2373" t="s">
        <v>17</v>
      </c>
      <c r="K27" s="2208"/>
      <c r="L27" s="2200" t="s">
        <v>56</v>
      </c>
      <c r="M27" s="2032"/>
      <c r="N27" s="1844"/>
      <c r="O27" s="1845" t="s">
        <v>370</v>
      </c>
      <c r="P27" s="1844"/>
      <c r="Q27" s="1844"/>
      <c r="R27" s="1844"/>
      <c r="S27" s="1844"/>
      <c r="T27" s="1844"/>
      <c r="U27" s="1844"/>
      <c r="V27" s="1844"/>
      <c r="W27" s="1844"/>
      <c r="X27" s="1844"/>
      <c r="Y27" s="1053"/>
      <c r="Z27" s="1053"/>
      <c r="AA27" s="1053"/>
      <c r="AB27" s="1844"/>
      <c r="AC27" s="1053"/>
      <c r="AD27" s="1844"/>
      <c r="AE27" s="1844"/>
      <c r="AF27" s="2204">
        <v>5</v>
      </c>
      <c r="AG27" s="2200" t="s">
        <v>1002</v>
      </c>
      <c r="AH27" s="2200" t="s">
        <v>2018</v>
      </c>
      <c r="AI27" s="2204">
        <v>0</v>
      </c>
      <c r="AJ27" s="2200" t="s">
        <v>1002</v>
      </c>
      <c r="AK27" s="2200" t="s">
        <v>2018</v>
      </c>
      <c r="AM27" s="1033"/>
      <c r="AN27" s="1033"/>
      <c r="AO27" s="1033"/>
      <c r="AP27" s="1033"/>
      <c r="AQ27" s="1033"/>
      <c r="AR27" s="1033"/>
      <c r="AS27" s="1033"/>
      <c r="AT27" s="1033"/>
      <c r="AU27" s="1033"/>
      <c r="AV27" s="1033"/>
      <c r="AW27" s="1033"/>
      <c r="AX27" s="1033"/>
      <c r="AY27" s="1033"/>
      <c r="AZ27" s="1033"/>
      <c r="BA27" s="1033"/>
      <c r="BB27" s="1033"/>
      <c r="BC27" s="1033"/>
      <c r="BD27" s="1033"/>
      <c r="BE27" s="1033"/>
      <c r="BF27" s="1033"/>
    </row>
    <row r="28" spans="1:58" ht="11.25" customHeight="1">
      <c r="A28" s="1821" t="s">
        <v>1987</v>
      </c>
      <c r="C28" s="1042"/>
      <c r="D28" s="1036"/>
      <c r="E28" s="1046"/>
      <c r="F28" s="2202"/>
      <c r="G28" s="2160"/>
      <c r="H28" s="2160"/>
      <c r="I28" s="2206"/>
      <c r="J28" s="2373"/>
      <c r="K28" s="2208"/>
      <c r="L28" s="2200"/>
      <c r="M28" s="2032"/>
      <c r="N28" s="2209"/>
      <c r="O28" s="2175">
        <v>1</v>
      </c>
      <c r="P28" s="2170" t="s">
        <v>56</v>
      </c>
      <c r="Q28" s="2173" t="s">
        <v>17</v>
      </c>
      <c r="R28" s="2173" t="s">
        <v>17</v>
      </c>
      <c r="S28" s="2173" t="s">
        <v>17</v>
      </c>
      <c r="T28" s="2173" t="s">
        <v>17</v>
      </c>
      <c r="U28" s="2173" t="s">
        <v>17</v>
      </c>
      <c r="V28" s="2173" t="s">
        <v>17</v>
      </c>
      <c r="W28" s="2173" t="s">
        <v>17</v>
      </c>
      <c r="X28" s="2173" t="s">
        <v>17</v>
      </c>
      <c r="Y28" s="2173"/>
      <c r="Z28" s="1050"/>
      <c r="AA28" s="1051"/>
      <c r="AB28" s="1847"/>
      <c r="AC28" s="1661"/>
      <c r="AD28" s="1848"/>
      <c r="AE28" s="1849"/>
      <c r="AF28" s="2204"/>
      <c r="AG28" s="2200"/>
      <c r="AH28" s="2200"/>
      <c r="AI28" s="2204"/>
      <c r="AJ28" s="2200"/>
      <c r="AK28" s="2200"/>
      <c r="AM28" s="1033"/>
      <c r="AN28" s="1033"/>
      <c r="AO28" s="1033"/>
      <c r="AP28" s="1033"/>
      <c r="AQ28" s="1033"/>
      <c r="AR28" s="1033"/>
      <c r="AS28" s="1033"/>
      <c r="AT28" s="1033"/>
      <c r="AU28" s="1033"/>
      <c r="AV28" s="1033"/>
      <c r="AW28" s="1033"/>
      <c r="AX28" s="1033"/>
      <c r="AY28" s="1033"/>
      <c r="AZ28" s="1033"/>
      <c r="BA28" s="1033"/>
      <c r="BB28" s="1033"/>
      <c r="BC28" s="1033"/>
      <c r="BD28" s="1033"/>
      <c r="BE28" s="1033"/>
      <c r="BF28" s="1033"/>
    </row>
    <row r="29" spans="1:58" ht="11.25" customHeight="1">
      <c r="A29" s="1821" t="s">
        <v>1987</v>
      </c>
      <c r="C29" s="1042"/>
      <c r="D29" s="1036"/>
      <c r="E29" s="1046"/>
      <c r="F29" s="2202"/>
      <c r="G29" s="2160"/>
      <c r="H29" s="2160"/>
      <c r="I29" s="2206"/>
      <c r="J29" s="2373"/>
      <c r="K29" s="2208"/>
      <c r="L29" s="2200"/>
      <c r="M29" s="2032"/>
      <c r="N29" s="2209"/>
      <c r="O29" s="2175"/>
      <c r="P29" s="2171"/>
      <c r="Q29" s="2173"/>
      <c r="R29" s="2173"/>
      <c r="S29" s="2205"/>
      <c r="T29" s="2173"/>
      <c r="U29" s="2173"/>
      <c r="V29" s="2173"/>
      <c r="W29" s="2173"/>
      <c r="X29" s="2173"/>
      <c r="Y29" s="2173"/>
      <c r="Z29" s="1054"/>
      <c r="AA29" s="1055">
        <v>1</v>
      </c>
      <c r="AB29" s="1850" t="s">
        <v>888</v>
      </c>
      <c r="AC29" s="1045">
        <v>36866.329220489002</v>
      </c>
      <c r="AD29" s="1663" t="str">
        <f>AB29</f>
        <v xml:space="preserve">  Прибыль направляемая на инвестиции</v>
      </c>
      <c r="AE29" s="1851">
        <v>16347.72402</v>
      </c>
      <c r="AF29" s="2204"/>
      <c r="AG29" s="2200"/>
      <c r="AH29" s="2200"/>
      <c r="AI29" s="2204"/>
      <c r="AJ29" s="2200"/>
      <c r="AK29" s="2200"/>
      <c r="AM29" s="1033"/>
      <c r="AN29" s="1033"/>
      <c r="AO29" s="1033"/>
      <c r="AP29" s="1033"/>
      <c r="AQ29" s="1033"/>
      <c r="AR29" s="1033"/>
      <c r="AS29" s="1033"/>
      <c r="AT29" s="1033"/>
      <c r="AU29" s="1033"/>
      <c r="AV29" s="1033"/>
      <c r="AW29" s="1033"/>
      <c r="AX29" s="1033"/>
      <c r="AY29" s="1033"/>
      <c r="AZ29" s="1033"/>
      <c r="BA29" s="1033"/>
      <c r="BB29" s="1033"/>
      <c r="BC29" s="1033"/>
      <c r="BD29" s="1033"/>
      <c r="BE29" s="1033"/>
      <c r="BF29" s="1033"/>
    </row>
    <row r="30" spans="1:58" ht="11.25" customHeight="1">
      <c r="A30" s="1821" t="s">
        <v>1987</v>
      </c>
      <c r="C30" s="1042"/>
      <c r="D30" s="1036"/>
      <c r="E30" s="1046"/>
      <c r="F30" s="2202"/>
      <c r="G30" s="2160"/>
      <c r="H30" s="2160"/>
      <c r="I30" s="2206"/>
      <c r="J30" s="2373"/>
      <c r="K30" s="2208"/>
      <c r="L30" s="2200"/>
      <c r="M30" s="2032"/>
      <c r="N30" s="2209"/>
      <c r="O30" s="2175"/>
      <c r="P30" s="2172"/>
      <c r="Q30" s="2173"/>
      <c r="R30" s="2173"/>
      <c r="S30" s="2205"/>
      <c r="T30" s="2173"/>
      <c r="U30" s="2173"/>
      <c r="V30" s="2173"/>
      <c r="W30" s="2173"/>
      <c r="X30" s="2173"/>
      <c r="Y30" s="2173"/>
      <c r="Z30" s="1050"/>
      <c r="AA30" s="1051"/>
      <c r="AB30" s="1852" t="s">
        <v>1410</v>
      </c>
      <c r="AC30" s="1661"/>
      <c r="AD30" s="1848"/>
      <c r="AE30" s="1853"/>
      <c r="AF30" s="2204"/>
      <c r="AG30" s="2200"/>
      <c r="AH30" s="2200"/>
      <c r="AI30" s="2204"/>
      <c r="AJ30" s="2200"/>
      <c r="AK30" s="2200"/>
      <c r="AM30" s="1033"/>
      <c r="AN30" s="1033"/>
      <c r="AO30" s="1033"/>
      <c r="AP30" s="1033"/>
      <c r="AQ30" s="1033"/>
      <c r="AR30" s="1033"/>
      <c r="AS30" s="1033"/>
      <c r="AT30" s="1033"/>
      <c r="AU30" s="1033"/>
      <c r="AV30" s="1033"/>
      <c r="AW30" s="1033"/>
      <c r="AX30" s="1033"/>
      <c r="AY30" s="1033"/>
      <c r="AZ30" s="1033"/>
      <c r="BA30" s="1033"/>
      <c r="BB30" s="1033"/>
      <c r="BC30" s="1033"/>
      <c r="BD30" s="1033"/>
      <c r="BE30" s="1033"/>
      <c r="BF30" s="1033"/>
    </row>
    <row r="31" spans="1:58" ht="11.25" customHeight="1">
      <c r="A31" s="1821" t="s">
        <v>1987</v>
      </c>
      <c r="C31" s="1042"/>
      <c r="D31" s="1036"/>
      <c r="E31" s="1046"/>
      <c r="F31" s="2202"/>
      <c r="G31" s="2160"/>
      <c r="H31" s="2160"/>
      <c r="I31" s="2206"/>
      <c r="J31" s="2373"/>
      <c r="K31" s="2208"/>
      <c r="L31" s="2200"/>
      <c r="M31" s="2032"/>
      <c r="N31" s="1847"/>
      <c r="O31" s="1847"/>
      <c r="P31" s="1854" t="s">
        <v>1411</v>
      </c>
      <c r="Q31" s="1847"/>
      <c r="R31" s="1847"/>
      <c r="S31" s="1847"/>
      <c r="T31" s="1847"/>
      <c r="U31" s="1847"/>
      <c r="V31" s="1847"/>
      <c r="W31" s="1847"/>
      <c r="X31" s="1847"/>
      <c r="Y31" s="1051"/>
      <c r="Z31" s="1051"/>
      <c r="AA31" s="1051"/>
      <c r="AB31" s="1847"/>
      <c r="AC31" s="1051"/>
      <c r="AD31" s="1847"/>
      <c r="AE31" s="1855"/>
      <c r="AF31" s="2204"/>
      <c r="AG31" s="2200"/>
      <c r="AH31" s="2200"/>
      <c r="AI31" s="2204"/>
      <c r="AJ31" s="2200"/>
      <c r="AK31" s="2200"/>
      <c r="AM31" s="1033"/>
      <c r="AN31" s="1033"/>
      <c r="AO31" s="1033"/>
      <c r="AP31" s="1033"/>
      <c r="AQ31" s="1033"/>
      <c r="AR31" s="1033"/>
      <c r="AS31" s="1033"/>
      <c r="AT31" s="1033"/>
      <c r="AU31" s="1033"/>
      <c r="AV31" s="1033"/>
      <c r="AW31" s="1033"/>
      <c r="AX31" s="1033"/>
      <c r="AY31" s="1033"/>
      <c r="AZ31" s="1033"/>
      <c r="BA31" s="1033"/>
      <c r="BB31" s="1033"/>
      <c r="BC31" s="1033"/>
      <c r="BD31" s="1033"/>
      <c r="BE31" s="1033"/>
      <c r="BF31" s="1033"/>
    </row>
    <row r="32" spans="1:58" ht="11.25" customHeight="1">
      <c r="A32" s="1042" t="s">
        <v>1987</v>
      </c>
      <c r="B32" s="1042" t="s">
        <v>1337</v>
      </c>
      <c r="C32" s="1042"/>
      <c r="D32" s="1036"/>
      <c r="E32" s="1046"/>
      <c r="F32" s="2371"/>
      <c r="G32" s="2360" t="s">
        <v>1109</v>
      </c>
      <c r="H32" s="2160" t="s">
        <v>110</v>
      </c>
      <c r="I32" s="2206" t="s">
        <v>1285</v>
      </c>
      <c r="J32" s="2207" t="s">
        <v>1345</v>
      </c>
      <c r="K32" s="2208"/>
      <c r="L32" s="2200" t="s">
        <v>56</v>
      </c>
      <c r="M32" s="2032"/>
      <c r="N32" s="1053"/>
      <c r="O32" s="1052" t="s">
        <v>370</v>
      </c>
      <c r="P32" s="1053"/>
      <c r="Q32" s="1053"/>
      <c r="R32" s="1053"/>
      <c r="S32" s="1053"/>
      <c r="T32" s="1053"/>
      <c r="U32" s="1053"/>
      <c r="V32" s="1053"/>
      <c r="W32" s="1053"/>
      <c r="X32" s="1053"/>
      <c r="Y32" s="1053"/>
      <c r="Z32" s="1053"/>
      <c r="AA32" s="1053"/>
      <c r="AB32" s="1053"/>
      <c r="AC32" s="1053"/>
      <c r="AD32" s="1053"/>
      <c r="AE32" s="1053"/>
      <c r="AF32" s="2204">
        <v>5</v>
      </c>
      <c r="AG32" s="2200" t="s">
        <v>1002</v>
      </c>
      <c r="AH32" s="2200" t="s">
        <v>2018</v>
      </c>
      <c r="AI32" s="2204">
        <v>0</v>
      </c>
      <c r="AJ32" s="2200" t="s">
        <v>1002</v>
      </c>
      <c r="AK32" s="2200" t="s">
        <v>2018</v>
      </c>
      <c r="AL32" s="1048"/>
      <c r="AM32" s="1033"/>
      <c r="AN32" s="1033"/>
      <c r="AO32" s="1033"/>
      <c r="AP32" s="1033"/>
      <c r="AQ32" s="1033"/>
      <c r="AR32" s="1033"/>
      <c r="AS32" s="1033"/>
      <c r="AT32" s="1033"/>
      <c r="AU32" s="1033"/>
      <c r="AV32" s="1033"/>
      <c r="AW32" s="1033"/>
      <c r="AX32" s="1033"/>
      <c r="AY32" s="1033"/>
      <c r="AZ32" s="1033"/>
      <c r="BA32" s="1033"/>
      <c r="BB32" s="1033"/>
      <c r="BC32" s="1033"/>
      <c r="BD32" s="1033"/>
      <c r="BE32" s="1033"/>
      <c r="BF32" s="1033"/>
    </row>
    <row r="33" spans="1:58" ht="11.25" customHeight="1">
      <c r="A33" s="1042" t="s">
        <v>1987</v>
      </c>
      <c r="B33" s="1042"/>
      <c r="C33" s="1042"/>
      <c r="D33" s="1036"/>
      <c r="E33" s="1046"/>
      <c r="F33" s="2371"/>
      <c r="G33" s="2376"/>
      <c r="H33" s="2160" t="s">
        <v>109</v>
      </c>
      <c r="I33" s="2206"/>
      <c r="J33" s="2207"/>
      <c r="K33" s="2208"/>
      <c r="L33" s="2200"/>
      <c r="M33" s="2032"/>
      <c r="N33" s="2209"/>
      <c r="O33" s="2175">
        <v>1</v>
      </c>
      <c r="P33" s="2170" t="s">
        <v>56</v>
      </c>
      <c r="Q33" s="2173" t="s">
        <v>17</v>
      </c>
      <c r="R33" s="2173" t="s">
        <v>17</v>
      </c>
      <c r="S33" s="2173" t="s">
        <v>17</v>
      </c>
      <c r="T33" s="2173" t="s">
        <v>17</v>
      </c>
      <c r="U33" s="2173" t="s">
        <v>17</v>
      </c>
      <c r="V33" s="2173" t="s">
        <v>17</v>
      </c>
      <c r="W33" s="2173" t="s">
        <v>17</v>
      </c>
      <c r="X33" s="2173" t="s">
        <v>17</v>
      </c>
      <c r="Y33" s="2173"/>
      <c r="Z33" s="1050"/>
      <c r="AA33" s="1051"/>
      <c r="AB33" s="1051"/>
      <c r="AC33" s="1661"/>
      <c r="AD33" s="1661"/>
      <c r="AE33" s="1662"/>
      <c r="AF33" s="2204"/>
      <c r="AG33" s="2200"/>
      <c r="AH33" s="2200"/>
      <c r="AI33" s="2204"/>
      <c r="AJ33" s="2200"/>
      <c r="AK33" s="2200"/>
      <c r="AL33" s="1048"/>
      <c r="AM33" s="1033"/>
      <c r="AN33" s="1033"/>
      <c r="AO33" s="1033"/>
      <c r="AP33" s="1033"/>
      <c r="AQ33" s="1033"/>
      <c r="AR33" s="1033"/>
      <c r="AS33" s="1033"/>
      <c r="AT33" s="1033"/>
      <c r="AU33" s="1033"/>
      <c r="AV33" s="1033"/>
      <c r="AW33" s="1033"/>
      <c r="AX33" s="1033"/>
      <c r="AY33" s="1033"/>
      <c r="AZ33" s="1033"/>
      <c r="BA33" s="1033"/>
      <c r="BB33" s="1033"/>
      <c r="BC33" s="1033"/>
      <c r="BD33" s="1033"/>
      <c r="BE33" s="1033"/>
      <c r="BF33" s="1033"/>
    </row>
    <row r="34" spans="1:58" ht="11.25" customHeight="1">
      <c r="A34" s="1042" t="s">
        <v>1987</v>
      </c>
      <c r="B34" s="1042"/>
      <c r="C34" s="1042"/>
      <c r="D34" s="1036"/>
      <c r="E34" s="1046"/>
      <c r="F34" s="2371"/>
      <c r="G34" s="2376"/>
      <c r="H34" s="2160" t="s">
        <v>109</v>
      </c>
      <c r="I34" s="2206"/>
      <c r="J34" s="2207"/>
      <c r="K34" s="2208"/>
      <c r="L34" s="2200"/>
      <c r="M34" s="2032"/>
      <c r="N34" s="2209"/>
      <c r="O34" s="2175"/>
      <c r="P34" s="2171"/>
      <c r="Q34" s="2173"/>
      <c r="R34" s="2173"/>
      <c r="S34" s="2205"/>
      <c r="T34" s="2173"/>
      <c r="U34" s="2173"/>
      <c r="V34" s="2173"/>
      <c r="W34" s="2173"/>
      <c r="X34" s="2173"/>
      <c r="Y34" s="2173"/>
      <c r="Z34" s="1054"/>
      <c r="AA34" s="1617">
        <v>1</v>
      </c>
      <c r="AB34" s="1663" t="s">
        <v>888</v>
      </c>
      <c r="AC34" s="1045">
        <v>152930.48027376799</v>
      </c>
      <c r="AD34" s="1663" t="str">
        <f>AB34</f>
        <v xml:space="preserve">  Прибыль направляемая на инвестиции</v>
      </c>
      <c r="AE34" s="1045">
        <v>128673.37936723699</v>
      </c>
      <c r="AF34" s="2204"/>
      <c r="AG34" s="2200"/>
      <c r="AH34" s="2200"/>
      <c r="AI34" s="2204"/>
      <c r="AJ34" s="2200"/>
      <c r="AK34" s="2200"/>
      <c r="AL34" s="1048"/>
      <c r="AM34" s="1033"/>
      <c r="AN34" s="1033"/>
      <c r="AO34" s="1033"/>
      <c r="AP34" s="1033"/>
      <c r="AQ34" s="1033"/>
      <c r="AR34" s="1033"/>
      <c r="AS34" s="1033"/>
      <c r="AT34" s="1033"/>
      <c r="AU34" s="1033"/>
      <c r="AV34" s="1033"/>
      <c r="AW34" s="1033"/>
      <c r="AX34" s="1033"/>
      <c r="AY34" s="1033"/>
      <c r="AZ34" s="1033"/>
      <c r="BA34" s="1033"/>
      <c r="BB34" s="1033"/>
      <c r="BC34" s="1033"/>
      <c r="BD34" s="1033"/>
      <c r="BE34" s="1033"/>
      <c r="BF34" s="1033"/>
    </row>
    <row r="35" spans="1:58" ht="11.25" customHeight="1">
      <c r="A35" s="1042" t="s">
        <v>1987</v>
      </c>
      <c r="B35" s="1042"/>
      <c r="C35" s="1042"/>
      <c r="D35" s="1036"/>
      <c r="E35" s="1046"/>
      <c r="F35" s="2372"/>
      <c r="G35" s="2372"/>
      <c r="H35" s="2372"/>
      <c r="I35" s="2372"/>
      <c r="J35" s="2372"/>
      <c r="K35" s="2372"/>
      <c r="L35" s="2372"/>
      <c r="M35" s="2372"/>
      <c r="N35" s="2372"/>
      <c r="O35" s="2372"/>
      <c r="P35" s="2372"/>
      <c r="Q35" s="2372"/>
      <c r="R35" s="2372"/>
      <c r="S35" s="2372"/>
      <c r="T35" s="2372"/>
      <c r="U35" s="2372"/>
      <c r="V35" s="2372"/>
      <c r="W35" s="2372"/>
      <c r="X35" s="2372"/>
      <c r="Y35" s="2372"/>
      <c r="Z35" s="1704" t="s">
        <v>1109</v>
      </c>
      <c r="AA35" s="1617" t="s">
        <v>110</v>
      </c>
      <c r="AB35" s="1663" t="s">
        <v>925</v>
      </c>
      <c r="AC35" s="1045">
        <v>35549.129644365501</v>
      </c>
      <c r="AD35" s="1663" t="str">
        <f>AB35</f>
        <v xml:space="preserve">      Амортизационные отчисления с выделением результатов переоценки основных средств и нематериальных активов</v>
      </c>
      <c r="AE35" s="1045">
        <v>17582.4637727626</v>
      </c>
      <c r="AF35" s="2374"/>
      <c r="AG35" s="2375"/>
      <c r="AH35" s="2375"/>
      <c r="AI35" s="2374"/>
      <c r="AJ35" s="2375"/>
      <c r="AK35" s="2375"/>
      <c r="AL35" s="1048"/>
      <c r="AM35" s="1033"/>
      <c r="AN35" s="1033"/>
      <c r="AO35" s="1033"/>
      <c r="AP35" s="1033"/>
      <c r="AQ35" s="1033"/>
      <c r="AR35" s="1033"/>
      <c r="AS35" s="1033"/>
      <c r="AT35" s="1033"/>
      <c r="AU35" s="1033"/>
      <c r="AV35" s="1033"/>
      <c r="AW35" s="1033"/>
      <c r="AX35" s="1033"/>
      <c r="AY35" s="1033"/>
      <c r="AZ35" s="1033"/>
      <c r="BA35" s="1033"/>
      <c r="BB35" s="1033"/>
      <c r="BC35" s="1033"/>
      <c r="BD35" s="1033"/>
      <c r="BE35" s="1033"/>
      <c r="BF35" s="1033"/>
    </row>
    <row r="36" spans="1:58" ht="11.25" customHeight="1">
      <c r="A36" s="1042" t="s">
        <v>1987</v>
      </c>
      <c r="B36" s="1042"/>
      <c r="C36" s="1042"/>
      <c r="D36" s="1036"/>
      <c r="E36" s="1046"/>
      <c r="F36" s="2371"/>
      <c r="G36" s="2376"/>
      <c r="H36" s="2160" t="s">
        <v>109</v>
      </c>
      <c r="I36" s="2206"/>
      <c r="J36" s="2207"/>
      <c r="K36" s="2208"/>
      <c r="L36" s="2200"/>
      <c r="M36" s="2032"/>
      <c r="N36" s="2209"/>
      <c r="O36" s="2175"/>
      <c r="P36" s="2172"/>
      <c r="Q36" s="2173"/>
      <c r="R36" s="2173"/>
      <c r="S36" s="2205"/>
      <c r="T36" s="2173"/>
      <c r="U36" s="2173"/>
      <c r="V36" s="2173"/>
      <c r="W36" s="2173"/>
      <c r="X36" s="2173"/>
      <c r="Y36" s="2173"/>
      <c r="Z36" s="1050"/>
      <c r="AA36" s="1051"/>
      <c r="AB36" s="1114" t="s">
        <v>1410</v>
      </c>
      <c r="AC36" s="1661"/>
      <c r="AD36" s="1661"/>
      <c r="AE36" s="1664"/>
      <c r="AF36" s="2204"/>
      <c r="AG36" s="2200"/>
      <c r="AH36" s="2200"/>
      <c r="AI36" s="2204"/>
      <c r="AJ36" s="2200"/>
      <c r="AK36" s="2200"/>
      <c r="AL36" s="1048"/>
      <c r="AM36" s="1033"/>
      <c r="AN36" s="1033"/>
      <c r="AO36" s="1033"/>
      <c r="AP36" s="1033"/>
      <c r="AQ36" s="1033"/>
      <c r="AR36" s="1033"/>
      <c r="AS36" s="1033"/>
      <c r="AT36" s="1033"/>
      <c r="AU36" s="1033"/>
      <c r="AV36" s="1033"/>
      <c r="AW36" s="1033"/>
      <c r="AX36" s="1033"/>
      <c r="AY36" s="1033"/>
      <c r="AZ36" s="1033"/>
      <c r="BA36" s="1033"/>
      <c r="BB36" s="1033"/>
      <c r="BC36" s="1033"/>
      <c r="BD36" s="1033"/>
      <c r="BE36" s="1033"/>
      <c r="BF36" s="1033"/>
    </row>
    <row r="37" spans="1:58" ht="11.25" customHeight="1">
      <c r="A37" s="1042" t="s">
        <v>1987</v>
      </c>
      <c r="B37" s="1042"/>
      <c r="C37" s="1042"/>
      <c r="D37" s="1036"/>
      <c r="E37" s="1046"/>
      <c r="F37" s="2371"/>
      <c r="G37" s="2376"/>
      <c r="H37" s="2160" t="s">
        <v>109</v>
      </c>
      <c r="I37" s="2206"/>
      <c r="J37" s="2207"/>
      <c r="K37" s="2208"/>
      <c r="L37" s="2200"/>
      <c r="M37" s="2032"/>
      <c r="N37" s="1051"/>
      <c r="O37" s="1051"/>
      <c r="P37" s="1044" t="s">
        <v>1411</v>
      </c>
      <c r="Q37" s="1051"/>
      <c r="R37" s="1051"/>
      <c r="S37" s="1051"/>
      <c r="T37" s="1051"/>
      <c r="U37" s="1051"/>
      <c r="V37" s="1051"/>
      <c r="W37" s="1051"/>
      <c r="X37" s="1051"/>
      <c r="Y37" s="1051"/>
      <c r="Z37" s="1051"/>
      <c r="AA37" s="1051"/>
      <c r="AB37" s="1051"/>
      <c r="AC37" s="1051"/>
      <c r="AD37" s="1051"/>
      <c r="AE37" s="1056"/>
      <c r="AF37" s="2204"/>
      <c r="AG37" s="2200"/>
      <c r="AH37" s="2200"/>
      <c r="AI37" s="2204"/>
      <c r="AJ37" s="2200"/>
      <c r="AK37" s="2200"/>
      <c r="AL37" s="1048"/>
      <c r="AM37" s="1033"/>
      <c r="AN37" s="1033"/>
      <c r="AO37" s="1033"/>
      <c r="AP37" s="1033"/>
      <c r="AQ37" s="1033"/>
      <c r="AR37" s="1033"/>
      <c r="AS37" s="1033"/>
      <c r="AT37" s="1033"/>
      <c r="AU37" s="1033"/>
      <c r="AV37" s="1033"/>
      <c r="AW37" s="1033"/>
      <c r="AX37" s="1033"/>
      <c r="AY37" s="1033"/>
      <c r="AZ37" s="1033"/>
      <c r="BA37" s="1033"/>
      <c r="BB37" s="1033"/>
      <c r="BC37" s="1033"/>
      <c r="BD37" s="1033"/>
      <c r="BE37" s="1033"/>
      <c r="BF37" s="1033"/>
    </row>
    <row r="38" spans="1:58" ht="12" customHeight="1">
      <c r="A38" s="1821" t="s">
        <v>1987</v>
      </c>
      <c r="C38" s="1042"/>
      <c r="D38" s="1036"/>
      <c r="E38" s="1046"/>
      <c r="F38" s="2203"/>
      <c r="G38" s="1856"/>
      <c r="H38" s="1856"/>
      <c r="I38" s="2201" t="s">
        <v>1412</v>
      </c>
      <c r="J38" s="2201"/>
      <c r="K38" s="2201"/>
      <c r="L38" s="1857"/>
      <c r="M38" s="1857"/>
      <c r="N38" s="1858"/>
      <c r="O38" s="1858"/>
      <c r="P38" s="1858"/>
      <c r="Q38" s="1858"/>
      <c r="R38" s="1858"/>
      <c r="S38" s="1858"/>
      <c r="T38" s="1858"/>
      <c r="U38" s="1858"/>
      <c r="V38" s="1858"/>
      <c r="W38" s="1858"/>
      <c r="X38" s="1858"/>
      <c r="Y38" s="1049"/>
      <c r="Z38" s="1049"/>
      <c r="AA38" s="1049"/>
      <c r="AB38" s="1858"/>
      <c r="AC38" s="1049"/>
      <c r="AD38" s="1858"/>
      <c r="AE38" s="1858"/>
      <c r="AF38" s="1858"/>
      <c r="AG38" s="1857"/>
      <c r="AH38" s="1857"/>
      <c r="AI38" s="1858"/>
      <c r="AJ38" s="1857"/>
      <c r="AK38" s="1859"/>
      <c r="AM38" s="1033"/>
      <c r="AN38" s="1033"/>
      <c r="AO38" s="1033"/>
      <c r="AP38" s="1033"/>
      <c r="AQ38" s="1033"/>
      <c r="AR38" s="1033"/>
      <c r="AS38" s="1033"/>
      <c r="AT38" s="1033"/>
      <c r="AU38" s="1033"/>
      <c r="AV38" s="1033"/>
      <c r="AW38" s="1033"/>
      <c r="AX38" s="1033"/>
      <c r="AY38" s="1033"/>
      <c r="AZ38" s="1033"/>
      <c r="BA38" s="1033"/>
      <c r="BB38" s="1033"/>
      <c r="BC38" s="1033"/>
      <c r="BD38" s="1033"/>
      <c r="BE38" s="1033"/>
      <c r="BF38" s="1033"/>
    </row>
    <row r="39" spans="1:58" ht="11.25" customHeight="1">
      <c r="A39" s="1821" t="s">
        <v>1987</v>
      </c>
      <c r="B39" s="1821" t="s">
        <v>17</v>
      </c>
      <c r="C39" s="1042"/>
      <c r="D39" s="1036"/>
      <c r="E39" s="1046"/>
      <c r="F39" s="2202">
        <v>2024</v>
      </c>
      <c r="G39" s="2160"/>
      <c r="H39" s="2160" t="s">
        <v>109</v>
      </c>
      <c r="I39" s="2206" t="s">
        <v>1280</v>
      </c>
      <c r="J39" s="2373" t="s">
        <v>17</v>
      </c>
      <c r="K39" s="2208"/>
      <c r="L39" s="2200" t="s">
        <v>56</v>
      </c>
      <c r="M39" s="2032"/>
      <c r="N39" s="1844"/>
      <c r="O39" s="1845" t="s">
        <v>370</v>
      </c>
      <c r="P39" s="1844"/>
      <c r="Q39" s="1844"/>
      <c r="R39" s="1844"/>
      <c r="S39" s="1844"/>
      <c r="T39" s="1844"/>
      <c r="U39" s="1844"/>
      <c r="V39" s="1844"/>
      <c r="W39" s="1844"/>
      <c r="X39" s="1844"/>
      <c r="Y39" s="1053"/>
      <c r="Z39" s="1053"/>
      <c r="AA39" s="1053"/>
      <c r="AB39" s="1844"/>
      <c r="AC39" s="1053"/>
      <c r="AD39" s="1844"/>
      <c r="AE39" s="1844"/>
      <c r="AF39" s="2204">
        <v>5</v>
      </c>
      <c r="AG39" s="2200" t="s">
        <v>1002</v>
      </c>
      <c r="AH39" s="2200" t="s">
        <v>2018</v>
      </c>
      <c r="AI39" s="2204">
        <v>0</v>
      </c>
      <c r="AJ39" s="2200" t="s">
        <v>1002</v>
      </c>
      <c r="AK39" s="2200" t="s">
        <v>2018</v>
      </c>
      <c r="AM39" s="1033"/>
      <c r="AN39" s="1033"/>
      <c r="AO39" s="1033"/>
      <c r="AP39" s="1033"/>
      <c r="AQ39" s="1033"/>
      <c r="AR39" s="1033"/>
      <c r="AS39" s="1033"/>
      <c r="AT39" s="1033"/>
      <c r="AU39" s="1033"/>
      <c r="AV39" s="1033"/>
      <c r="AW39" s="1033"/>
      <c r="AX39" s="1033"/>
      <c r="AY39" s="1033"/>
      <c r="AZ39" s="1033"/>
      <c r="BA39" s="1033"/>
      <c r="BB39" s="1033"/>
      <c r="BC39" s="1033"/>
      <c r="BD39" s="1033"/>
      <c r="BE39" s="1033"/>
      <c r="BF39" s="1033"/>
    </row>
    <row r="40" spans="1:58" ht="11.25" customHeight="1">
      <c r="A40" s="1821" t="s">
        <v>1987</v>
      </c>
      <c r="C40" s="1042"/>
      <c r="D40" s="1036"/>
      <c r="E40" s="1046"/>
      <c r="F40" s="2202"/>
      <c r="G40" s="2160"/>
      <c r="H40" s="2160"/>
      <c r="I40" s="2206"/>
      <c r="J40" s="2373"/>
      <c r="K40" s="2208"/>
      <c r="L40" s="2200"/>
      <c r="M40" s="2032"/>
      <c r="N40" s="2209"/>
      <c r="O40" s="2175">
        <v>1</v>
      </c>
      <c r="P40" s="2170" t="s">
        <v>56</v>
      </c>
      <c r="Q40" s="2173" t="s">
        <v>17</v>
      </c>
      <c r="R40" s="2173" t="s">
        <v>17</v>
      </c>
      <c r="S40" s="2173" t="s">
        <v>17</v>
      </c>
      <c r="T40" s="2173" t="s">
        <v>17</v>
      </c>
      <c r="U40" s="2173" t="s">
        <v>17</v>
      </c>
      <c r="V40" s="2173" t="s">
        <v>17</v>
      </c>
      <c r="W40" s="2173" t="s">
        <v>17</v>
      </c>
      <c r="X40" s="2173" t="s">
        <v>17</v>
      </c>
      <c r="Y40" s="2173"/>
      <c r="Z40" s="1050"/>
      <c r="AA40" s="1051"/>
      <c r="AB40" s="1847"/>
      <c r="AC40" s="1661"/>
      <c r="AD40" s="1848"/>
      <c r="AE40" s="1849"/>
      <c r="AF40" s="2204"/>
      <c r="AG40" s="2200"/>
      <c r="AH40" s="2200"/>
      <c r="AI40" s="2204"/>
      <c r="AJ40" s="2200"/>
      <c r="AK40" s="2200"/>
      <c r="AM40" s="1033"/>
      <c r="AN40" s="1033"/>
      <c r="AO40" s="1033"/>
      <c r="AP40" s="1033"/>
      <c r="AQ40" s="1033"/>
      <c r="AR40" s="1033"/>
      <c r="AS40" s="1033"/>
      <c r="AT40" s="1033"/>
      <c r="AU40" s="1033"/>
      <c r="AV40" s="1033"/>
      <c r="AW40" s="1033"/>
      <c r="AX40" s="1033"/>
      <c r="AY40" s="1033"/>
      <c r="AZ40" s="1033"/>
      <c r="BA40" s="1033"/>
      <c r="BB40" s="1033"/>
      <c r="BC40" s="1033"/>
      <c r="BD40" s="1033"/>
      <c r="BE40" s="1033"/>
      <c r="BF40" s="1033"/>
    </row>
    <row r="41" spans="1:58" ht="11.25" customHeight="1">
      <c r="A41" s="1821" t="s">
        <v>1987</v>
      </c>
      <c r="C41" s="1042"/>
      <c r="D41" s="1036"/>
      <c r="E41" s="1046"/>
      <c r="F41" s="2202"/>
      <c r="G41" s="2160"/>
      <c r="H41" s="2160"/>
      <c r="I41" s="2206"/>
      <c r="J41" s="2373"/>
      <c r="K41" s="2208"/>
      <c r="L41" s="2200"/>
      <c r="M41" s="2032"/>
      <c r="N41" s="2209"/>
      <c r="O41" s="2175"/>
      <c r="P41" s="2171"/>
      <c r="Q41" s="2173"/>
      <c r="R41" s="2173"/>
      <c r="S41" s="2205"/>
      <c r="T41" s="2173"/>
      <c r="U41" s="2173"/>
      <c r="V41" s="2173"/>
      <c r="W41" s="2173"/>
      <c r="X41" s="2173"/>
      <c r="Y41" s="2173"/>
      <c r="Z41" s="1054"/>
      <c r="AA41" s="1055">
        <v>1</v>
      </c>
      <c r="AB41" s="1850" t="s">
        <v>888</v>
      </c>
      <c r="AC41" s="1045">
        <v>26608.808489999999</v>
      </c>
      <c r="AD41" s="1663" t="str">
        <f>AB41</f>
        <v xml:space="preserve">  Прибыль направляемая на инвестиции</v>
      </c>
      <c r="AE41" s="1851">
        <v>0</v>
      </c>
      <c r="AF41" s="2204"/>
      <c r="AG41" s="2200"/>
      <c r="AH41" s="2200"/>
      <c r="AI41" s="2204"/>
      <c r="AJ41" s="2200"/>
      <c r="AK41" s="2200"/>
      <c r="AM41" s="1033"/>
      <c r="AN41" s="1033"/>
      <c r="AO41" s="1033"/>
      <c r="AP41" s="1033"/>
      <c r="AQ41" s="1033"/>
      <c r="AR41" s="1033"/>
      <c r="AS41" s="1033"/>
      <c r="AT41" s="1033"/>
      <c r="AU41" s="1033"/>
      <c r="AV41" s="1033"/>
      <c r="AW41" s="1033"/>
      <c r="AX41" s="1033"/>
      <c r="AY41" s="1033"/>
      <c r="AZ41" s="1033"/>
      <c r="BA41" s="1033"/>
      <c r="BB41" s="1033"/>
      <c r="BC41" s="1033"/>
      <c r="BD41" s="1033"/>
      <c r="BE41" s="1033"/>
      <c r="BF41" s="1033"/>
    </row>
    <row r="42" spans="1:58" ht="11.25" customHeight="1">
      <c r="A42" s="1821" t="s">
        <v>1987</v>
      </c>
      <c r="C42" s="1042"/>
      <c r="D42" s="1036"/>
      <c r="E42" s="1046"/>
      <c r="F42" s="2202"/>
      <c r="G42" s="2160"/>
      <c r="H42" s="2160"/>
      <c r="I42" s="2206"/>
      <c r="J42" s="2373"/>
      <c r="K42" s="2208"/>
      <c r="L42" s="2200"/>
      <c r="M42" s="2032"/>
      <c r="N42" s="2209"/>
      <c r="O42" s="2175"/>
      <c r="P42" s="2172"/>
      <c r="Q42" s="2173"/>
      <c r="R42" s="2173"/>
      <c r="S42" s="2205"/>
      <c r="T42" s="2173"/>
      <c r="U42" s="2173"/>
      <c r="V42" s="2173"/>
      <c r="W42" s="2173"/>
      <c r="X42" s="2173"/>
      <c r="Y42" s="2173"/>
      <c r="Z42" s="1050"/>
      <c r="AA42" s="1051"/>
      <c r="AB42" s="1852" t="s">
        <v>1410</v>
      </c>
      <c r="AC42" s="1661"/>
      <c r="AD42" s="1848"/>
      <c r="AE42" s="1853"/>
      <c r="AF42" s="2204"/>
      <c r="AG42" s="2200"/>
      <c r="AH42" s="2200"/>
      <c r="AI42" s="2204"/>
      <c r="AJ42" s="2200"/>
      <c r="AK42" s="2200"/>
      <c r="AM42" s="1033"/>
      <c r="AN42" s="1033"/>
      <c r="AO42" s="1033"/>
      <c r="AP42" s="1033"/>
      <c r="AQ42" s="1033"/>
      <c r="AR42" s="1033"/>
      <c r="AS42" s="1033"/>
      <c r="AT42" s="1033"/>
      <c r="AU42" s="1033"/>
      <c r="AV42" s="1033"/>
      <c r="AW42" s="1033"/>
      <c r="AX42" s="1033"/>
      <c r="AY42" s="1033"/>
      <c r="AZ42" s="1033"/>
      <c r="BA42" s="1033"/>
      <c r="BB42" s="1033"/>
      <c r="BC42" s="1033"/>
      <c r="BD42" s="1033"/>
      <c r="BE42" s="1033"/>
      <c r="BF42" s="1033"/>
    </row>
    <row r="43" spans="1:58" ht="11.25" customHeight="1">
      <c r="A43" s="1821" t="s">
        <v>1987</v>
      </c>
      <c r="C43" s="1042"/>
      <c r="D43" s="1036"/>
      <c r="E43" s="1046"/>
      <c r="F43" s="2202"/>
      <c r="G43" s="2160"/>
      <c r="H43" s="2160"/>
      <c r="I43" s="2206"/>
      <c r="J43" s="2373"/>
      <c r="K43" s="2208"/>
      <c r="L43" s="2200"/>
      <c r="M43" s="2032"/>
      <c r="N43" s="1847"/>
      <c r="O43" s="1847"/>
      <c r="P43" s="1854" t="s">
        <v>1411</v>
      </c>
      <c r="Q43" s="1847"/>
      <c r="R43" s="1847"/>
      <c r="S43" s="1847"/>
      <c r="T43" s="1847"/>
      <c r="U43" s="1847"/>
      <c r="V43" s="1847"/>
      <c r="W43" s="1847"/>
      <c r="X43" s="1847"/>
      <c r="Y43" s="1051"/>
      <c r="Z43" s="1051"/>
      <c r="AA43" s="1051"/>
      <c r="AB43" s="1847"/>
      <c r="AC43" s="1051"/>
      <c r="AD43" s="1847"/>
      <c r="AE43" s="1855"/>
      <c r="AF43" s="2204"/>
      <c r="AG43" s="2200"/>
      <c r="AH43" s="2200"/>
      <c r="AI43" s="2204"/>
      <c r="AJ43" s="2200"/>
      <c r="AK43" s="2200"/>
      <c r="AM43" s="1033"/>
      <c r="AN43" s="1033"/>
      <c r="AO43" s="1033"/>
      <c r="AP43" s="1033"/>
      <c r="AQ43" s="1033"/>
      <c r="AR43" s="1033"/>
      <c r="AS43" s="1033"/>
      <c r="AT43" s="1033"/>
      <c r="AU43" s="1033"/>
      <c r="AV43" s="1033"/>
      <c r="AW43" s="1033"/>
      <c r="AX43" s="1033"/>
      <c r="AY43" s="1033"/>
      <c r="AZ43" s="1033"/>
      <c r="BA43" s="1033"/>
      <c r="BB43" s="1033"/>
      <c r="BC43" s="1033"/>
      <c r="BD43" s="1033"/>
      <c r="BE43" s="1033"/>
      <c r="BF43" s="1033"/>
    </row>
    <row r="44" spans="1:58" ht="11.25" customHeight="1">
      <c r="A44" s="1042" t="s">
        <v>1987</v>
      </c>
      <c r="B44" s="1042" t="s">
        <v>1337</v>
      </c>
      <c r="C44" s="1042"/>
      <c r="D44" s="1036"/>
      <c r="E44" s="1046"/>
      <c r="F44" s="2371"/>
      <c r="G44" s="2360" t="s">
        <v>1109</v>
      </c>
      <c r="H44" s="2160" t="s">
        <v>110</v>
      </c>
      <c r="I44" s="2206" t="s">
        <v>1285</v>
      </c>
      <c r="J44" s="2207" t="s">
        <v>1345</v>
      </c>
      <c r="K44" s="2208"/>
      <c r="L44" s="2200" t="s">
        <v>56</v>
      </c>
      <c r="M44" s="2032"/>
      <c r="N44" s="1053"/>
      <c r="O44" s="1052" t="s">
        <v>370</v>
      </c>
      <c r="P44" s="1053"/>
      <c r="Q44" s="1053"/>
      <c r="R44" s="1053"/>
      <c r="S44" s="1053"/>
      <c r="T44" s="1053"/>
      <c r="U44" s="1053"/>
      <c r="V44" s="1053"/>
      <c r="W44" s="1053"/>
      <c r="X44" s="1053"/>
      <c r="Y44" s="1053"/>
      <c r="Z44" s="1053"/>
      <c r="AA44" s="1053"/>
      <c r="AB44" s="1053"/>
      <c r="AC44" s="1053"/>
      <c r="AD44" s="1053"/>
      <c r="AE44" s="1053"/>
      <c r="AF44" s="2204">
        <v>5</v>
      </c>
      <c r="AG44" s="2200" t="s">
        <v>1002</v>
      </c>
      <c r="AH44" s="2200" t="s">
        <v>2018</v>
      </c>
      <c r="AI44" s="2204">
        <v>0</v>
      </c>
      <c r="AJ44" s="2200" t="s">
        <v>1002</v>
      </c>
      <c r="AK44" s="2200" t="s">
        <v>2018</v>
      </c>
      <c r="AL44" s="1048"/>
      <c r="AM44" s="1033"/>
      <c r="AN44" s="1033"/>
      <c r="AO44" s="1033"/>
      <c r="AP44" s="1033"/>
      <c r="AQ44" s="1033"/>
      <c r="AR44" s="1033"/>
      <c r="AS44" s="1033"/>
      <c r="AT44" s="1033"/>
      <c r="AU44" s="1033"/>
      <c r="AV44" s="1033"/>
      <c r="AW44" s="1033"/>
      <c r="AX44" s="1033"/>
      <c r="AY44" s="1033"/>
      <c r="AZ44" s="1033"/>
      <c r="BA44" s="1033"/>
      <c r="BB44" s="1033"/>
      <c r="BC44" s="1033"/>
      <c r="BD44" s="1033"/>
      <c r="BE44" s="1033"/>
      <c r="BF44" s="1033"/>
    </row>
    <row r="45" spans="1:58" ht="11.25" customHeight="1">
      <c r="A45" s="1042" t="s">
        <v>1987</v>
      </c>
      <c r="B45" s="1042"/>
      <c r="C45" s="1042"/>
      <c r="D45" s="1036"/>
      <c r="E45" s="1046"/>
      <c r="F45" s="2371"/>
      <c r="G45" s="2376"/>
      <c r="H45" s="2160" t="s">
        <v>109</v>
      </c>
      <c r="I45" s="2206"/>
      <c r="J45" s="2207"/>
      <c r="K45" s="2208"/>
      <c r="L45" s="2200"/>
      <c r="M45" s="2032"/>
      <c r="N45" s="2209"/>
      <c r="O45" s="2175">
        <v>1</v>
      </c>
      <c r="P45" s="2170" t="s">
        <v>56</v>
      </c>
      <c r="Q45" s="2173" t="s">
        <v>17</v>
      </c>
      <c r="R45" s="2173" t="s">
        <v>17</v>
      </c>
      <c r="S45" s="2173" t="s">
        <v>17</v>
      </c>
      <c r="T45" s="2173" t="s">
        <v>17</v>
      </c>
      <c r="U45" s="2173" t="s">
        <v>17</v>
      </c>
      <c r="V45" s="2173" t="s">
        <v>17</v>
      </c>
      <c r="W45" s="2173" t="s">
        <v>17</v>
      </c>
      <c r="X45" s="2173" t="s">
        <v>17</v>
      </c>
      <c r="Y45" s="2173"/>
      <c r="Z45" s="1050"/>
      <c r="AA45" s="1051"/>
      <c r="AB45" s="1051"/>
      <c r="AC45" s="1661"/>
      <c r="AD45" s="1661"/>
      <c r="AE45" s="1662"/>
      <c r="AF45" s="2204"/>
      <c r="AG45" s="2200"/>
      <c r="AH45" s="2200"/>
      <c r="AI45" s="2204"/>
      <c r="AJ45" s="2200"/>
      <c r="AK45" s="2200"/>
      <c r="AL45" s="1048"/>
      <c r="AM45" s="1033"/>
      <c r="AN45" s="1033"/>
      <c r="AO45" s="1033"/>
      <c r="AP45" s="1033"/>
      <c r="AQ45" s="1033"/>
      <c r="AR45" s="1033"/>
      <c r="AS45" s="1033"/>
      <c r="AT45" s="1033"/>
      <c r="AU45" s="1033"/>
      <c r="AV45" s="1033"/>
      <c r="AW45" s="1033"/>
      <c r="AX45" s="1033"/>
      <c r="AY45" s="1033"/>
      <c r="AZ45" s="1033"/>
      <c r="BA45" s="1033"/>
      <c r="BB45" s="1033"/>
      <c r="BC45" s="1033"/>
      <c r="BD45" s="1033"/>
      <c r="BE45" s="1033"/>
      <c r="BF45" s="1033"/>
    </row>
    <row r="46" spans="1:58" ht="11.25" customHeight="1">
      <c r="A46" s="1042" t="s">
        <v>1987</v>
      </c>
      <c r="B46" s="1042"/>
      <c r="C46" s="1042"/>
      <c r="D46" s="1036"/>
      <c r="E46" s="1046"/>
      <c r="F46" s="2371"/>
      <c r="G46" s="2376"/>
      <c r="H46" s="2160" t="s">
        <v>109</v>
      </c>
      <c r="I46" s="2206"/>
      <c r="J46" s="2207"/>
      <c r="K46" s="2208"/>
      <c r="L46" s="2200"/>
      <c r="M46" s="2032"/>
      <c r="N46" s="2209"/>
      <c r="O46" s="2175"/>
      <c r="P46" s="2171"/>
      <c r="Q46" s="2173"/>
      <c r="R46" s="2173"/>
      <c r="S46" s="2205"/>
      <c r="T46" s="2173"/>
      <c r="U46" s="2173"/>
      <c r="V46" s="2173"/>
      <c r="W46" s="2173"/>
      <c r="X46" s="2173"/>
      <c r="Y46" s="2173"/>
      <c r="Z46" s="1054"/>
      <c r="AA46" s="1617">
        <v>1</v>
      </c>
      <c r="AB46" s="1663" t="s">
        <v>888</v>
      </c>
      <c r="AC46" s="1045">
        <v>92737.157023049906</v>
      </c>
      <c r="AD46" s="1663" t="str">
        <f>AB46</f>
        <v xml:space="preserve">  Прибыль направляемая на инвестиции</v>
      </c>
      <c r="AE46" s="1045">
        <v>0</v>
      </c>
      <c r="AF46" s="2204"/>
      <c r="AG46" s="2200"/>
      <c r="AH46" s="2200"/>
      <c r="AI46" s="2204"/>
      <c r="AJ46" s="2200"/>
      <c r="AK46" s="2200"/>
      <c r="AL46" s="1048"/>
      <c r="AM46" s="1033"/>
      <c r="AN46" s="1033"/>
      <c r="AO46" s="1033"/>
      <c r="AP46" s="1033"/>
      <c r="AQ46" s="1033"/>
      <c r="AR46" s="1033"/>
      <c r="AS46" s="1033"/>
      <c r="AT46" s="1033"/>
      <c r="AU46" s="1033"/>
      <c r="AV46" s="1033"/>
      <c r="AW46" s="1033"/>
      <c r="AX46" s="1033"/>
      <c r="AY46" s="1033"/>
      <c r="AZ46" s="1033"/>
      <c r="BA46" s="1033"/>
      <c r="BB46" s="1033"/>
      <c r="BC46" s="1033"/>
      <c r="BD46" s="1033"/>
      <c r="BE46" s="1033"/>
      <c r="BF46" s="1033"/>
    </row>
    <row r="47" spans="1:58" ht="11.25" customHeight="1">
      <c r="A47" s="1042" t="s">
        <v>1987</v>
      </c>
      <c r="B47" s="1042"/>
      <c r="C47" s="1042"/>
      <c r="D47" s="1036"/>
      <c r="E47" s="1046"/>
      <c r="F47" s="2372"/>
      <c r="G47" s="2372"/>
      <c r="H47" s="2372"/>
      <c r="I47" s="2372"/>
      <c r="J47" s="2372"/>
      <c r="K47" s="2372"/>
      <c r="L47" s="2372"/>
      <c r="M47" s="2372"/>
      <c r="N47" s="2372"/>
      <c r="O47" s="2372"/>
      <c r="P47" s="2372"/>
      <c r="Q47" s="2372"/>
      <c r="R47" s="2372"/>
      <c r="S47" s="2372"/>
      <c r="T47" s="2372"/>
      <c r="U47" s="2372"/>
      <c r="V47" s="2372"/>
      <c r="W47" s="2372"/>
      <c r="X47" s="2372"/>
      <c r="Y47" s="2372"/>
      <c r="Z47" s="1704" t="s">
        <v>1109</v>
      </c>
      <c r="AA47" s="1617" t="s">
        <v>110</v>
      </c>
      <c r="AB47" s="1663" t="s">
        <v>925</v>
      </c>
      <c r="AC47" s="1045">
        <v>115013.81204881601</v>
      </c>
      <c r="AD47" s="1663" t="str">
        <f>AB47</f>
        <v xml:space="preserve">      Амортизационные отчисления с выделением результатов переоценки основных средств и нематериальных активов</v>
      </c>
      <c r="AE47" s="1045">
        <v>0</v>
      </c>
      <c r="AF47" s="2374"/>
      <c r="AG47" s="2375"/>
      <c r="AH47" s="2375"/>
      <c r="AI47" s="2374"/>
      <c r="AJ47" s="2375"/>
      <c r="AK47" s="2375"/>
      <c r="AL47" s="1048"/>
      <c r="AM47" s="1033"/>
      <c r="AN47" s="1033"/>
      <c r="AO47" s="1033"/>
      <c r="AP47" s="1033"/>
      <c r="AQ47" s="1033"/>
      <c r="AR47" s="1033"/>
      <c r="AS47" s="1033"/>
      <c r="AT47" s="1033"/>
      <c r="AU47" s="1033"/>
      <c r="AV47" s="1033"/>
      <c r="AW47" s="1033"/>
      <c r="AX47" s="1033"/>
      <c r="AY47" s="1033"/>
      <c r="AZ47" s="1033"/>
      <c r="BA47" s="1033"/>
      <c r="BB47" s="1033"/>
      <c r="BC47" s="1033"/>
      <c r="BD47" s="1033"/>
      <c r="BE47" s="1033"/>
      <c r="BF47" s="1033"/>
    </row>
    <row r="48" spans="1:58" ht="11.25" customHeight="1">
      <c r="A48" s="1042" t="s">
        <v>1987</v>
      </c>
      <c r="B48" s="1042"/>
      <c r="C48" s="1042"/>
      <c r="D48" s="1036"/>
      <c r="E48" s="1046"/>
      <c r="F48" s="2371"/>
      <c r="G48" s="2376"/>
      <c r="H48" s="2160" t="s">
        <v>109</v>
      </c>
      <c r="I48" s="2206"/>
      <c r="J48" s="2207"/>
      <c r="K48" s="2208"/>
      <c r="L48" s="2200"/>
      <c r="M48" s="2032"/>
      <c r="N48" s="2209"/>
      <c r="O48" s="2175"/>
      <c r="P48" s="2172"/>
      <c r="Q48" s="2173"/>
      <c r="R48" s="2173"/>
      <c r="S48" s="2205"/>
      <c r="T48" s="2173"/>
      <c r="U48" s="2173"/>
      <c r="V48" s="2173"/>
      <c r="W48" s="2173"/>
      <c r="X48" s="2173"/>
      <c r="Y48" s="2173"/>
      <c r="Z48" s="1050"/>
      <c r="AA48" s="1051"/>
      <c r="AB48" s="1114" t="s">
        <v>1410</v>
      </c>
      <c r="AC48" s="1661"/>
      <c r="AD48" s="1661"/>
      <c r="AE48" s="1664"/>
      <c r="AF48" s="2204"/>
      <c r="AG48" s="2200"/>
      <c r="AH48" s="2200"/>
      <c r="AI48" s="2204"/>
      <c r="AJ48" s="2200"/>
      <c r="AK48" s="2200"/>
      <c r="AL48" s="1048"/>
      <c r="AM48" s="1033"/>
      <c r="AN48" s="1033"/>
      <c r="AO48" s="1033"/>
      <c r="AP48" s="1033"/>
      <c r="AQ48" s="1033"/>
      <c r="AR48" s="1033"/>
      <c r="AS48" s="1033"/>
      <c r="AT48" s="1033"/>
      <c r="AU48" s="1033"/>
      <c r="AV48" s="1033"/>
      <c r="AW48" s="1033"/>
      <c r="AX48" s="1033"/>
      <c r="AY48" s="1033"/>
      <c r="AZ48" s="1033"/>
      <c r="BA48" s="1033"/>
      <c r="BB48" s="1033"/>
      <c r="BC48" s="1033"/>
      <c r="BD48" s="1033"/>
      <c r="BE48" s="1033"/>
      <c r="BF48" s="1033"/>
    </row>
    <row r="49" spans="1:58" ht="11.25" customHeight="1">
      <c r="A49" s="1042" t="s">
        <v>1987</v>
      </c>
      <c r="B49" s="1042"/>
      <c r="C49" s="1042"/>
      <c r="D49" s="1036"/>
      <c r="E49" s="1046"/>
      <c r="F49" s="2371"/>
      <c r="G49" s="2376"/>
      <c r="H49" s="2160" t="s">
        <v>109</v>
      </c>
      <c r="I49" s="2206"/>
      <c r="J49" s="2207"/>
      <c r="K49" s="2208"/>
      <c r="L49" s="2200"/>
      <c r="M49" s="2032"/>
      <c r="N49" s="1051"/>
      <c r="O49" s="1051"/>
      <c r="P49" s="1044" t="s">
        <v>1411</v>
      </c>
      <c r="Q49" s="1051"/>
      <c r="R49" s="1051"/>
      <c r="S49" s="1051"/>
      <c r="T49" s="1051"/>
      <c r="U49" s="1051"/>
      <c r="V49" s="1051"/>
      <c r="W49" s="1051"/>
      <c r="X49" s="1051"/>
      <c r="Y49" s="1051"/>
      <c r="Z49" s="1051"/>
      <c r="AA49" s="1051"/>
      <c r="AB49" s="1051"/>
      <c r="AC49" s="1051"/>
      <c r="AD49" s="1051"/>
      <c r="AE49" s="1056"/>
      <c r="AF49" s="2204"/>
      <c r="AG49" s="2200"/>
      <c r="AH49" s="2200"/>
      <c r="AI49" s="2204"/>
      <c r="AJ49" s="2200"/>
      <c r="AK49" s="2200"/>
      <c r="AL49" s="1048"/>
      <c r="AM49" s="1033"/>
      <c r="AN49" s="1033"/>
      <c r="AO49" s="1033"/>
      <c r="AP49" s="1033"/>
      <c r="AQ49" s="1033"/>
      <c r="AR49" s="1033"/>
      <c r="AS49" s="1033"/>
      <c r="AT49" s="1033"/>
      <c r="AU49" s="1033"/>
      <c r="AV49" s="1033"/>
      <c r="AW49" s="1033"/>
      <c r="AX49" s="1033"/>
      <c r="AY49" s="1033"/>
      <c r="AZ49" s="1033"/>
      <c r="BA49" s="1033"/>
      <c r="BB49" s="1033"/>
      <c r="BC49" s="1033"/>
      <c r="BD49" s="1033"/>
      <c r="BE49" s="1033"/>
      <c r="BF49" s="1033"/>
    </row>
    <row r="50" spans="1:58" ht="12" customHeight="1">
      <c r="A50" s="1821" t="s">
        <v>1987</v>
      </c>
      <c r="C50" s="1042"/>
      <c r="D50" s="1036"/>
      <c r="E50" s="1046"/>
      <c r="F50" s="2203"/>
      <c r="G50" s="1856"/>
      <c r="H50" s="1856"/>
      <c r="I50" s="2201" t="s">
        <v>1412</v>
      </c>
      <c r="J50" s="2201"/>
      <c r="K50" s="2201"/>
      <c r="L50" s="1857"/>
      <c r="M50" s="1857"/>
      <c r="N50" s="1858"/>
      <c r="O50" s="1858"/>
      <c r="P50" s="1858"/>
      <c r="Q50" s="1858"/>
      <c r="R50" s="1858"/>
      <c r="S50" s="1858"/>
      <c r="T50" s="1858"/>
      <c r="U50" s="1858"/>
      <c r="V50" s="1858"/>
      <c r="W50" s="1858"/>
      <c r="X50" s="1858"/>
      <c r="Y50" s="1049"/>
      <c r="Z50" s="1049"/>
      <c r="AA50" s="1049"/>
      <c r="AB50" s="1858"/>
      <c r="AC50" s="1049"/>
      <c r="AD50" s="1858"/>
      <c r="AE50" s="1858"/>
      <c r="AF50" s="1858"/>
      <c r="AG50" s="1857"/>
      <c r="AH50" s="1857"/>
      <c r="AI50" s="1858"/>
      <c r="AJ50" s="1857"/>
      <c r="AK50" s="1859"/>
      <c r="AM50" s="1033"/>
      <c r="AN50" s="1033"/>
      <c r="AO50" s="1033"/>
      <c r="AP50" s="1033"/>
      <c r="AQ50" s="1033"/>
      <c r="AR50" s="1033"/>
      <c r="AS50" s="1033"/>
      <c r="AT50" s="1033"/>
      <c r="AU50" s="1033"/>
      <c r="AV50" s="1033"/>
      <c r="AW50" s="1033"/>
      <c r="AX50" s="1033"/>
      <c r="AY50" s="1033"/>
      <c r="AZ50" s="1033"/>
      <c r="BA50" s="1033"/>
      <c r="BB50" s="1033"/>
      <c r="BC50" s="1033"/>
      <c r="BD50" s="1033"/>
      <c r="BE50" s="1033"/>
      <c r="BF50" s="1033"/>
    </row>
    <row r="51" spans="1:58" ht="11.25" customHeight="1">
      <c r="A51" s="1821" t="s">
        <v>1987</v>
      </c>
      <c r="B51" s="1821" t="s">
        <v>17</v>
      </c>
      <c r="C51" s="1042"/>
      <c r="D51" s="1036"/>
      <c r="E51" s="1046"/>
      <c r="F51" s="2202">
        <v>2025</v>
      </c>
      <c r="G51" s="2160"/>
      <c r="H51" s="2160" t="s">
        <v>109</v>
      </c>
      <c r="I51" s="2206" t="s">
        <v>1280</v>
      </c>
      <c r="J51" s="2373" t="s">
        <v>17</v>
      </c>
      <c r="K51" s="2208"/>
      <c r="L51" s="2200" t="s">
        <v>56</v>
      </c>
      <c r="M51" s="2032"/>
      <c r="N51" s="1844"/>
      <c r="O51" s="1845" t="s">
        <v>370</v>
      </c>
      <c r="P51" s="1844"/>
      <c r="Q51" s="1844"/>
      <c r="R51" s="1844"/>
      <c r="S51" s="1844"/>
      <c r="T51" s="1844"/>
      <c r="U51" s="1844"/>
      <c r="V51" s="1844"/>
      <c r="W51" s="1844"/>
      <c r="X51" s="1844"/>
      <c r="Y51" s="1053"/>
      <c r="Z51" s="1053"/>
      <c r="AA51" s="1053"/>
      <c r="AB51" s="1844"/>
      <c r="AC51" s="1053"/>
      <c r="AD51" s="1844"/>
      <c r="AE51" s="1844"/>
      <c r="AF51" s="2204">
        <v>5</v>
      </c>
      <c r="AG51" s="2200" t="s">
        <v>1002</v>
      </c>
      <c r="AH51" s="2200" t="s">
        <v>2018</v>
      </c>
      <c r="AI51" s="2204">
        <v>0</v>
      </c>
      <c r="AJ51" s="2200" t="s">
        <v>1002</v>
      </c>
      <c r="AK51" s="2200" t="s">
        <v>2018</v>
      </c>
      <c r="AM51" s="1033"/>
      <c r="AN51" s="1033"/>
      <c r="AO51" s="1033"/>
      <c r="AP51" s="1033"/>
      <c r="AQ51" s="1033"/>
      <c r="AR51" s="1033"/>
      <c r="AS51" s="1033"/>
      <c r="AT51" s="1033"/>
      <c r="AU51" s="1033"/>
      <c r="AV51" s="1033"/>
      <c r="AW51" s="1033"/>
      <c r="AX51" s="1033"/>
      <c r="AY51" s="1033"/>
      <c r="AZ51" s="1033"/>
      <c r="BA51" s="1033"/>
      <c r="BB51" s="1033"/>
      <c r="BC51" s="1033"/>
      <c r="BD51" s="1033"/>
      <c r="BE51" s="1033"/>
      <c r="BF51" s="1033"/>
    </row>
    <row r="52" spans="1:58" ht="11.25" customHeight="1">
      <c r="A52" s="1821" t="s">
        <v>1987</v>
      </c>
      <c r="C52" s="1042"/>
      <c r="D52" s="1036"/>
      <c r="E52" s="1046"/>
      <c r="F52" s="2202"/>
      <c r="G52" s="2160"/>
      <c r="H52" s="2160"/>
      <c r="I52" s="2206"/>
      <c r="J52" s="2373"/>
      <c r="K52" s="2208"/>
      <c r="L52" s="2200"/>
      <c r="M52" s="2032"/>
      <c r="N52" s="2209"/>
      <c r="O52" s="2175">
        <v>1</v>
      </c>
      <c r="P52" s="2170" t="s">
        <v>56</v>
      </c>
      <c r="Q52" s="2173" t="s">
        <v>17</v>
      </c>
      <c r="R52" s="2173" t="s">
        <v>17</v>
      </c>
      <c r="S52" s="2173" t="s">
        <v>17</v>
      </c>
      <c r="T52" s="2173" t="s">
        <v>17</v>
      </c>
      <c r="U52" s="2173" t="s">
        <v>17</v>
      </c>
      <c r="V52" s="2173" t="s">
        <v>17</v>
      </c>
      <c r="W52" s="2173" t="s">
        <v>17</v>
      </c>
      <c r="X52" s="2173" t="s">
        <v>17</v>
      </c>
      <c r="Y52" s="2173"/>
      <c r="Z52" s="1050"/>
      <c r="AA52" s="1051"/>
      <c r="AB52" s="1847"/>
      <c r="AC52" s="1661"/>
      <c r="AD52" s="1848"/>
      <c r="AE52" s="1849"/>
      <c r="AF52" s="2204"/>
      <c r="AG52" s="2200"/>
      <c r="AH52" s="2200"/>
      <c r="AI52" s="2204"/>
      <c r="AJ52" s="2200"/>
      <c r="AK52" s="2200"/>
      <c r="AM52" s="1033"/>
      <c r="AN52" s="1033"/>
      <c r="AO52" s="1033"/>
      <c r="AP52" s="1033"/>
      <c r="AQ52" s="1033"/>
      <c r="AR52" s="1033"/>
      <c r="AS52" s="1033"/>
      <c r="AT52" s="1033"/>
      <c r="AU52" s="1033"/>
      <c r="AV52" s="1033"/>
      <c r="AW52" s="1033"/>
      <c r="AX52" s="1033"/>
      <c r="AY52" s="1033"/>
      <c r="AZ52" s="1033"/>
      <c r="BA52" s="1033"/>
      <c r="BB52" s="1033"/>
      <c r="BC52" s="1033"/>
      <c r="BD52" s="1033"/>
      <c r="BE52" s="1033"/>
      <c r="BF52" s="1033"/>
    </row>
    <row r="53" spans="1:58" ht="11.25" customHeight="1">
      <c r="A53" s="1821" t="s">
        <v>1987</v>
      </c>
      <c r="C53" s="1042"/>
      <c r="D53" s="1036"/>
      <c r="E53" s="1046"/>
      <c r="F53" s="2202"/>
      <c r="G53" s="2160"/>
      <c r="H53" s="2160"/>
      <c r="I53" s="2206"/>
      <c r="J53" s="2373"/>
      <c r="K53" s="2208"/>
      <c r="L53" s="2200"/>
      <c r="M53" s="2032"/>
      <c r="N53" s="2209"/>
      <c r="O53" s="2175"/>
      <c r="P53" s="2171"/>
      <c r="Q53" s="2173"/>
      <c r="R53" s="2173"/>
      <c r="S53" s="2205"/>
      <c r="T53" s="2173"/>
      <c r="U53" s="2173"/>
      <c r="V53" s="2173"/>
      <c r="W53" s="2173"/>
      <c r="X53" s="2173"/>
      <c r="Y53" s="2173"/>
      <c r="Z53" s="1054"/>
      <c r="AA53" s="1055">
        <v>1</v>
      </c>
      <c r="AB53" s="1850" t="s">
        <v>888</v>
      </c>
      <c r="AC53" s="1045">
        <v>23717.4954536</v>
      </c>
      <c r="AD53" s="1663" t="str">
        <f>AB53</f>
        <v xml:space="preserve">  Прибыль направляемая на инвестиции</v>
      </c>
      <c r="AE53" s="1851">
        <v>0</v>
      </c>
      <c r="AF53" s="2204"/>
      <c r="AG53" s="2200"/>
      <c r="AH53" s="2200"/>
      <c r="AI53" s="2204"/>
      <c r="AJ53" s="2200"/>
      <c r="AK53" s="2200"/>
      <c r="AM53" s="1033"/>
      <c r="AN53" s="1033"/>
      <c r="AO53" s="1033"/>
      <c r="AP53" s="1033"/>
      <c r="AQ53" s="1033"/>
      <c r="AR53" s="1033"/>
      <c r="AS53" s="1033"/>
      <c r="AT53" s="1033"/>
      <c r="AU53" s="1033"/>
      <c r="AV53" s="1033"/>
      <c r="AW53" s="1033"/>
      <c r="AX53" s="1033"/>
      <c r="AY53" s="1033"/>
      <c r="AZ53" s="1033"/>
      <c r="BA53" s="1033"/>
      <c r="BB53" s="1033"/>
      <c r="BC53" s="1033"/>
      <c r="BD53" s="1033"/>
      <c r="BE53" s="1033"/>
      <c r="BF53" s="1033"/>
    </row>
    <row r="54" spans="1:58" ht="11.25" customHeight="1">
      <c r="A54" s="1821" t="s">
        <v>1987</v>
      </c>
      <c r="C54" s="1042"/>
      <c r="D54" s="1036"/>
      <c r="E54" s="1046"/>
      <c r="F54" s="2202"/>
      <c r="G54" s="2160"/>
      <c r="H54" s="2160"/>
      <c r="I54" s="2206"/>
      <c r="J54" s="2373"/>
      <c r="K54" s="2208"/>
      <c r="L54" s="2200"/>
      <c r="M54" s="2032"/>
      <c r="N54" s="2209"/>
      <c r="O54" s="2175"/>
      <c r="P54" s="2172"/>
      <c r="Q54" s="2173"/>
      <c r="R54" s="2173"/>
      <c r="S54" s="2205"/>
      <c r="T54" s="2173"/>
      <c r="U54" s="2173"/>
      <c r="V54" s="2173"/>
      <c r="W54" s="2173"/>
      <c r="X54" s="2173"/>
      <c r="Y54" s="2173"/>
      <c r="Z54" s="1050"/>
      <c r="AA54" s="1051"/>
      <c r="AB54" s="1852" t="s">
        <v>1410</v>
      </c>
      <c r="AC54" s="1661"/>
      <c r="AD54" s="1848"/>
      <c r="AE54" s="1853"/>
      <c r="AF54" s="2204"/>
      <c r="AG54" s="2200"/>
      <c r="AH54" s="2200"/>
      <c r="AI54" s="2204"/>
      <c r="AJ54" s="2200"/>
      <c r="AK54" s="2200"/>
      <c r="AM54" s="1033"/>
      <c r="AN54" s="1033"/>
      <c r="AO54" s="1033"/>
      <c r="AP54" s="1033"/>
      <c r="AQ54" s="1033"/>
      <c r="AR54" s="1033"/>
      <c r="AS54" s="1033"/>
      <c r="AT54" s="1033"/>
      <c r="AU54" s="1033"/>
      <c r="AV54" s="1033"/>
      <c r="AW54" s="1033"/>
      <c r="AX54" s="1033"/>
      <c r="AY54" s="1033"/>
      <c r="AZ54" s="1033"/>
      <c r="BA54" s="1033"/>
      <c r="BB54" s="1033"/>
      <c r="BC54" s="1033"/>
      <c r="BD54" s="1033"/>
      <c r="BE54" s="1033"/>
      <c r="BF54" s="1033"/>
    </row>
    <row r="55" spans="1:58" ht="11.25" customHeight="1">
      <c r="A55" s="1821" t="s">
        <v>1987</v>
      </c>
      <c r="C55" s="1042"/>
      <c r="D55" s="1036"/>
      <c r="E55" s="1046"/>
      <c r="F55" s="2202"/>
      <c r="G55" s="2160"/>
      <c r="H55" s="2160"/>
      <c r="I55" s="2206"/>
      <c r="J55" s="2373"/>
      <c r="K55" s="2208"/>
      <c r="L55" s="2200"/>
      <c r="M55" s="2032"/>
      <c r="N55" s="1847"/>
      <c r="O55" s="1847"/>
      <c r="P55" s="1854" t="s">
        <v>1411</v>
      </c>
      <c r="Q55" s="1847"/>
      <c r="R55" s="1847"/>
      <c r="S55" s="1847"/>
      <c r="T55" s="1847"/>
      <c r="U55" s="1847"/>
      <c r="V55" s="1847"/>
      <c r="W55" s="1847"/>
      <c r="X55" s="1847"/>
      <c r="Y55" s="1051"/>
      <c r="Z55" s="1051"/>
      <c r="AA55" s="1051"/>
      <c r="AB55" s="1847"/>
      <c r="AC55" s="1051"/>
      <c r="AD55" s="1847"/>
      <c r="AE55" s="1855"/>
      <c r="AF55" s="2204"/>
      <c r="AG55" s="2200"/>
      <c r="AH55" s="2200"/>
      <c r="AI55" s="2204"/>
      <c r="AJ55" s="2200"/>
      <c r="AK55" s="2200"/>
      <c r="AM55" s="1033"/>
      <c r="AN55" s="1033"/>
      <c r="AO55" s="1033"/>
      <c r="AP55" s="1033"/>
      <c r="AQ55" s="1033"/>
      <c r="AR55" s="1033"/>
      <c r="AS55" s="1033"/>
      <c r="AT55" s="1033"/>
      <c r="AU55" s="1033"/>
      <c r="AV55" s="1033"/>
      <c r="AW55" s="1033"/>
      <c r="AX55" s="1033"/>
      <c r="AY55" s="1033"/>
      <c r="AZ55" s="1033"/>
      <c r="BA55" s="1033"/>
      <c r="BB55" s="1033"/>
      <c r="BC55" s="1033"/>
      <c r="BD55" s="1033"/>
      <c r="BE55" s="1033"/>
      <c r="BF55" s="1033"/>
    </row>
    <row r="56" spans="1:58" ht="11.25" customHeight="1">
      <c r="A56" s="1042" t="s">
        <v>1987</v>
      </c>
      <c r="B56" s="1042" t="s">
        <v>1337</v>
      </c>
      <c r="C56" s="1042"/>
      <c r="D56" s="1036"/>
      <c r="E56" s="1046"/>
      <c r="F56" s="2371"/>
      <c r="G56" s="2360" t="s">
        <v>1109</v>
      </c>
      <c r="H56" s="2160" t="s">
        <v>110</v>
      </c>
      <c r="I56" s="2206" t="s">
        <v>1285</v>
      </c>
      <c r="J56" s="2207" t="s">
        <v>1345</v>
      </c>
      <c r="K56" s="2208"/>
      <c r="L56" s="2200" t="s">
        <v>56</v>
      </c>
      <c r="M56" s="2032"/>
      <c r="N56" s="1053"/>
      <c r="O56" s="1052" t="s">
        <v>370</v>
      </c>
      <c r="P56" s="1053"/>
      <c r="Q56" s="1053"/>
      <c r="R56" s="1053"/>
      <c r="S56" s="1053"/>
      <c r="T56" s="1053"/>
      <c r="U56" s="1053"/>
      <c r="V56" s="1053"/>
      <c r="W56" s="1053"/>
      <c r="X56" s="1053"/>
      <c r="Y56" s="1053"/>
      <c r="Z56" s="1053"/>
      <c r="AA56" s="1053"/>
      <c r="AB56" s="1053"/>
      <c r="AC56" s="1053"/>
      <c r="AD56" s="1053"/>
      <c r="AE56" s="1053"/>
      <c r="AF56" s="2204">
        <v>5</v>
      </c>
      <c r="AG56" s="2200" t="s">
        <v>1002</v>
      </c>
      <c r="AH56" s="2200" t="s">
        <v>2018</v>
      </c>
      <c r="AI56" s="2204">
        <v>0</v>
      </c>
      <c r="AJ56" s="2200" t="s">
        <v>1002</v>
      </c>
      <c r="AK56" s="2200" t="s">
        <v>2018</v>
      </c>
      <c r="AL56" s="1048"/>
      <c r="AM56" s="1033"/>
      <c r="AN56" s="1033"/>
      <c r="AO56" s="1033"/>
      <c r="AP56" s="1033"/>
      <c r="AQ56" s="1033"/>
      <c r="AR56" s="1033"/>
      <c r="AS56" s="1033"/>
      <c r="AT56" s="1033"/>
      <c r="AU56" s="1033"/>
      <c r="AV56" s="1033"/>
      <c r="AW56" s="1033"/>
      <c r="AX56" s="1033"/>
      <c r="AY56" s="1033"/>
      <c r="AZ56" s="1033"/>
      <c r="BA56" s="1033"/>
      <c r="BB56" s="1033"/>
      <c r="BC56" s="1033"/>
      <c r="BD56" s="1033"/>
      <c r="BE56" s="1033"/>
      <c r="BF56" s="1033"/>
    </row>
    <row r="57" spans="1:58" ht="11.25" customHeight="1">
      <c r="A57" s="1042" t="s">
        <v>1987</v>
      </c>
      <c r="B57" s="1042"/>
      <c r="C57" s="1042"/>
      <c r="D57" s="1036"/>
      <c r="E57" s="1046"/>
      <c r="F57" s="2371"/>
      <c r="G57" s="2376"/>
      <c r="H57" s="2160" t="s">
        <v>109</v>
      </c>
      <c r="I57" s="2206"/>
      <c r="J57" s="2207"/>
      <c r="K57" s="2208"/>
      <c r="L57" s="2200"/>
      <c r="M57" s="2032"/>
      <c r="N57" s="2209"/>
      <c r="O57" s="2175">
        <v>1</v>
      </c>
      <c r="P57" s="2170" t="s">
        <v>56</v>
      </c>
      <c r="Q57" s="2173" t="s">
        <v>17</v>
      </c>
      <c r="R57" s="2173" t="s">
        <v>17</v>
      </c>
      <c r="S57" s="2173" t="s">
        <v>17</v>
      </c>
      <c r="T57" s="2173" t="s">
        <v>17</v>
      </c>
      <c r="U57" s="2173" t="s">
        <v>17</v>
      </c>
      <c r="V57" s="2173" t="s">
        <v>17</v>
      </c>
      <c r="W57" s="2173" t="s">
        <v>17</v>
      </c>
      <c r="X57" s="2173" t="s">
        <v>17</v>
      </c>
      <c r="Y57" s="2173"/>
      <c r="Z57" s="1050"/>
      <c r="AA57" s="1051"/>
      <c r="AB57" s="1051"/>
      <c r="AC57" s="1661"/>
      <c r="AD57" s="1661"/>
      <c r="AE57" s="1662"/>
      <c r="AF57" s="2204"/>
      <c r="AG57" s="2200"/>
      <c r="AH57" s="2200"/>
      <c r="AI57" s="2204"/>
      <c r="AJ57" s="2200"/>
      <c r="AK57" s="2200"/>
      <c r="AL57" s="1048"/>
      <c r="AM57" s="1033"/>
      <c r="AN57" s="1033"/>
      <c r="AO57" s="1033"/>
      <c r="AP57" s="1033"/>
      <c r="AQ57" s="1033"/>
      <c r="AR57" s="1033"/>
      <c r="AS57" s="1033"/>
      <c r="AT57" s="1033"/>
      <c r="AU57" s="1033"/>
      <c r="AV57" s="1033"/>
      <c r="AW57" s="1033"/>
      <c r="AX57" s="1033"/>
      <c r="AY57" s="1033"/>
      <c r="AZ57" s="1033"/>
      <c r="BA57" s="1033"/>
      <c r="BB57" s="1033"/>
      <c r="BC57" s="1033"/>
      <c r="BD57" s="1033"/>
      <c r="BE57" s="1033"/>
      <c r="BF57" s="1033"/>
    </row>
    <row r="58" spans="1:58" ht="11.25" customHeight="1">
      <c r="A58" s="1042" t="s">
        <v>1987</v>
      </c>
      <c r="B58" s="1042"/>
      <c r="C58" s="1042"/>
      <c r="D58" s="1036"/>
      <c r="E58" s="1046"/>
      <c r="F58" s="2371"/>
      <c r="G58" s="2376"/>
      <c r="H58" s="2160" t="s">
        <v>109</v>
      </c>
      <c r="I58" s="2206"/>
      <c r="J58" s="2207"/>
      <c r="K58" s="2208"/>
      <c r="L58" s="2200"/>
      <c r="M58" s="2032"/>
      <c r="N58" s="2209"/>
      <c r="O58" s="2175"/>
      <c r="P58" s="2171"/>
      <c r="Q58" s="2173"/>
      <c r="R58" s="2173"/>
      <c r="S58" s="2205"/>
      <c r="T58" s="2173"/>
      <c r="U58" s="2173"/>
      <c r="V58" s="2173"/>
      <c r="W58" s="2173"/>
      <c r="X58" s="2173"/>
      <c r="Y58" s="2173"/>
      <c r="Z58" s="1054"/>
      <c r="AA58" s="1617">
        <v>1</v>
      </c>
      <c r="AB58" s="1663" t="s">
        <v>888</v>
      </c>
      <c r="AC58" s="1045">
        <v>102702.58341305501</v>
      </c>
      <c r="AD58" s="1663" t="str">
        <f>AB58</f>
        <v xml:space="preserve">  Прибыль направляемая на инвестиции</v>
      </c>
      <c r="AE58" s="1045">
        <v>0</v>
      </c>
      <c r="AF58" s="2204"/>
      <c r="AG58" s="2200"/>
      <c r="AH58" s="2200"/>
      <c r="AI58" s="2204"/>
      <c r="AJ58" s="2200"/>
      <c r="AK58" s="2200"/>
      <c r="AL58" s="1048"/>
      <c r="AM58" s="1033"/>
      <c r="AN58" s="1033"/>
      <c r="AO58" s="1033"/>
      <c r="AP58" s="1033"/>
      <c r="AQ58" s="1033"/>
      <c r="AR58" s="1033"/>
      <c r="AS58" s="1033"/>
      <c r="AT58" s="1033"/>
      <c r="AU58" s="1033"/>
      <c r="AV58" s="1033"/>
      <c r="AW58" s="1033"/>
      <c r="AX58" s="1033"/>
      <c r="AY58" s="1033"/>
      <c r="AZ58" s="1033"/>
      <c r="BA58" s="1033"/>
      <c r="BB58" s="1033"/>
      <c r="BC58" s="1033"/>
      <c r="BD58" s="1033"/>
      <c r="BE58" s="1033"/>
      <c r="BF58" s="1033"/>
    </row>
    <row r="59" spans="1:58" ht="11.25" customHeight="1">
      <c r="A59" s="1042" t="s">
        <v>1987</v>
      </c>
      <c r="B59" s="1042"/>
      <c r="C59" s="1042"/>
      <c r="D59" s="1036"/>
      <c r="E59" s="1046"/>
      <c r="F59" s="2372"/>
      <c r="G59" s="2372"/>
      <c r="H59" s="2372"/>
      <c r="I59" s="2372"/>
      <c r="J59" s="2372"/>
      <c r="K59" s="2372"/>
      <c r="L59" s="2372"/>
      <c r="M59" s="2372"/>
      <c r="N59" s="2372"/>
      <c r="O59" s="2372"/>
      <c r="P59" s="2372"/>
      <c r="Q59" s="2372"/>
      <c r="R59" s="2372"/>
      <c r="S59" s="2372"/>
      <c r="T59" s="2372"/>
      <c r="U59" s="2372"/>
      <c r="V59" s="2372"/>
      <c r="W59" s="2372"/>
      <c r="X59" s="2372"/>
      <c r="Y59" s="2372"/>
      <c r="Z59" s="1704" t="s">
        <v>1109</v>
      </c>
      <c r="AA59" s="1617" t="s">
        <v>110</v>
      </c>
      <c r="AB59" s="1663" t="s">
        <v>925</v>
      </c>
      <c r="AC59" s="1045">
        <v>117314.08828979199</v>
      </c>
      <c r="AD59" s="1663" t="str">
        <f>AB59</f>
        <v xml:space="preserve">      Амортизационные отчисления с выделением результатов переоценки основных средств и нематериальных активов</v>
      </c>
      <c r="AE59" s="1045">
        <v>0</v>
      </c>
      <c r="AF59" s="2374"/>
      <c r="AG59" s="2375"/>
      <c r="AH59" s="2375"/>
      <c r="AI59" s="2374"/>
      <c r="AJ59" s="2375"/>
      <c r="AK59" s="2375"/>
      <c r="AL59" s="1048"/>
      <c r="AM59" s="1033"/>
      <c r="AN59" s="1033"/>
      <c r="AO59" s="1033"/>
      <c r="AP59" s="1033"/>
      <c r="AQ59" s="1033"/>
      <c r="AR59" s="1033"/>
      <c r="AS59" s="1033"/>
      <c r="AT59" s="1033"/>
      <c r="AU59" s="1033"/>
      <c r="AV59" s="1033"/>
      <c r="AW59" s="1033"/>
      <c r="AX59" s="1033"/>
      <c r="AY59" s="1033"/>
      <c r="AZ59" s="1033"/>
      <c r="BA59" s="1033"/>
      <c r="BB59" s="1033"/>
      <c r="BC59" s="1033"/>
      <c r="BD59" s="1033"/>
      <c r="BE59" s="1033"/>
      <c r="BF59" s="1033"/>
    </row>
    <row r="60" spans="1:58" ht="11.25" customHeight="1">
      <c r="A60" s="1042" t="s">
        <v>1987</v>
      </c>
      <c r="B60" s="1042"/>
      <c r="C60" s="1042"/>
      <c r="D60" s="1036"/>
      <c r="E60" s="1046"/>
      <c r="F60" s="2371"/>
      <c r="G60" s="2376"/>
      <c r="H60" s="2160" t="s">
        <v>109</v>
      </c>
      <c r="I60" s="2206"/>
      <c r="J60" s="2207"/>
      <c r="K60" s="2208"/>
      <c r="L60" s="2200"/>
      <c r="M60" s="2032"/>
      <c r="N60" s="2209"/>
      <c r="O60" s="2175"/>
      <c r="P60" s="2172"/>
      <c r="Q60" s="2173"/>
      <c r="R60" s="2173"/>
      <c r="S60" s="2205"/>
      <c r="T60" s="2173"/>
      <c r="U60" s="2173"/>
      <c r="V60" s="2173"/>
      <c r="W60" s="2173"/>
      <c r="X60" s="2173"/>
      <c r="Y60" s="2173"/>
      <c r="Z60" s="1050"/>
      <c r="AA60" s="1051"/>
      <c r="AB60" s="1114" t="s">
        <v>1410</v>
      </c>
      <c r="AC60" s="1661"/>
      <c r="AD60" s="1661"/>
      <c r="AE60" s="1664"/>
      <c r="AF60" s="2204"/>
      <c r="AG60" s="2200"/>
      <c r="AH60" s="2200"/>
      <c r="AI60" s="2204"/>
      <c r="AJ60" s="2200"/>
      <c r="AK60" s="2200"/>
      <c r="AL60" s="1048"/>
      <c r="AM60" s="1033"/>
      <c r="AN60" s="1033"/>
      <c r="AO60" s="1033"/>
      <c r="AP60" s="1033"/>
      <c r="AQ60" s="1033"/>
      <c r="AR60" s="1033"/>
      <c r="AS60" s="1033"/>
      <c r="AT60" s="1033"/>
      <c r="AU60" s="1033"/>
      <c r="AV60" s="1033"/>
      <c r="AW60" s="1033"/>
      <c r="AX60" s="1033"/>
      <c r="AY60" s="1033"/>
      <c r="AZ60" s="1033"/>
      <c r="BA60" s="1033"/>
      <c r="BB60" s="1033"/>
      <c r="BC60" s="1033"/>
      <c r="BD60" s="1033"/>
      <c r="BE60" s="1033"/>
      <c r="BF60" s="1033"/>
    </row>
    <row r="61" spans="1:58" ht="11.25" customHeight="1">
      <c r="A61" s="1042" t="s">
        <v>1987</v>
      </c>
      <c r="B61" s="1042"/>
      <c r="C61" s="1042"/>
      <c r="D61" s="1036"/>
      <c r="E61" s="1046"/>
      <c r="F61" s="2371"/>
      <c r="G61" s="2376"/>
      <c r="H61" s="2160" t="s">
        <v>109</v>
      </c>
      <c r="I61" s="2206"/>
      <c r="J61" s="2207"/>
      <c r="K61" s="2208"/>
      <c r="L61" s="2200"/>
      <c r="M61" s="2032"/>
      <c r="N61" s="1051"/>
      <c r="O61" s="1051"/>
      <c r="P61" s="1044" t="s">
        <v>1411</v>
      </c>
      <c r="Q61" s="1051"/>
      <c r="R61" s="1051"/>
      <c r="S61" s="1051"/>
      <c r="T61" s="1051"/>
      <c r="U61" s="1051"/>
      <c r="V61" s="1051"/>
      <c r="W61" s="1051"/>
      <c r="X61" s="1051"/>
      <c r="Y61" s="1051"/>
      <c r="Z61" s="1051"/>
      <c r="AA61" s="1051"/>
      <c r="AB61" s="1051"/>
      <c r="AC61" s="1051"/>
      <c r="AD61" s="1051"/>
      <c r="AE61" s="1056"/>
      <c r="AF61" s="2204"/>
      <c r="AG61" s="2200"/>
      <c r="AH61" s="2200"/>
      <c r="AI61" s="2204"/>
      <c r="AJ61" s="2200"/>
      <c r="AK61" s="2200"/>
      <c r="AL61" s="1048"/>
      <c r="AM61" s="1033"/>
      <c r="AN61" s="1033"/>
      <c r="AO61" s="1033"/>
      <c r="AP61" s="1033"/>
      <c r="AQ61" s="1033"/>
      <c r="AR61" s="1033"/>
      <c r="AS61" s="1033"/>
      <c r="AT61" s="1033"/>
      <c r="AU61" s="1033"/>
      <c r="AV61" s="1033"/>
      <c r="AW61" s="1033"/>
      <c r="AX61" s="1033"/>
      <c r="AY61" s="1033"/>
      <c r="AZ61" s="1033"/>
      <c r="BA61" s="1033"/>
      <c r="BB61" s="1033"/>
      <c r="BC61" s="1033"/>
      <c r="BD61" s="1033"/>
      <c r="BE61" s="1033"/>
      <c r="BF61" s="1033"/>
    </row>
    <row r="62" spans="1:58" ht="12" customHeight="1">
      <c r="A62" s="1821" t="s">
        <v>1987</v>
      </c>
      <c r="C62" s="1042"/>
      <c r="D62" s="1036"/>
      <c r="E62" s="1046"/>
      <c r="F62" s="2203"/>
      <c r="G62" s="1856"/>
      <c r="H62" s="1856"/>
      <c r="I62" s="2201" t="s">
        <v>1412</v>
      </c>
      <c r="J62" s="2201"/>
      <c r="K62" s="2201"/>
      <c r="L62" s="1857"/>
      <c r="M62" s="1857"/>
      <c r="N62" s="1858"/>
      <c r="O62" s="1858"/>
      <c r="P62" s="1858"/>
      <c r="Q62" s="1858"/>
      <c r="R62" s="1858"/>
      <c r="S62" s="1858"/>
      <c r="T62" s="1858"/>
      <c r="U62" s="1858"/>
      <c r="V62" s="1858"/>
      <c r="W62" s="1858"/>
      <c r="X62" s="1858"/>
      <c r="Y62" s="1049"/>
      <c r="Z62" s="1049"/>
      <c r="AA62" s="1049"/>
      <c r="AB62" s="1858"/>
      <c r="AC62" s="1049"/>
      <c r="AD62" s="1858"/>
      <c r="AE62" s="1858"/>
      <c r="AF62" s="1858"/>
      <c r="AG62" s="1857"/>
      <c r="AH62" s="1857"/>
      <c r="AI62" s="1858"/>
      <c r="AJ62" s="1857"/>
      <c r="AK62" s="1859"/>
      <c r="AM62" s="1033"/>
      <c r="AN62" s="1033"/>
      <c r="AO62" s="1033"/>
      <c r="AP62" s="1033"/>
      <c r="AQ62" s="1033"/>
      <c r="AR62" s="1033"/>
      <c r="AS62" s="1033"/>
      <c r="AT62" s="1033"/>
      <c r="AU62" s="1033"/>
      <c r="AV62" s="1033"/>
      <c r="AW62" s="1033"/>
      <c r="AX62" s="1033"/>
      <c r="AY62" s="1033"/>
      <c r="AZ62" s="1033"/>
      <c r="BA62" s="1033"/>
      <c r="BB62" s="1033"/>
      <c r="BC62" s="1033"/>
      <c r="BD62" s="1033"/>
      <c r="BE62" s="1033"/>
      <c r="BF62" s="1033"/>
    </row>
    <row r="63" spans="1:58" ht="11.25" customHeight="1">
      <c r="A63" s="1821" t="s">
        <v>1987</v>
      </c>
      <c r="B63" s="1821" t="s">
        <v>17</v>
      </c>
      <c r="C63" s="1042"/>
      <c r="D63" s="1036"/>
      <c r="E63" s="1046"/>
      <c r="F63" s="2202">
        <v>2026</v>
      </c>
      <c r="G63" s="2160"/>
      <c r="H63" s="2160" t="s">
        <v>109</v>
      </c>
      <c r="I63" s="2206" t="s">
        <v>1280</v>
      </c>
      <c r="J63" s="2373" t="s">
        <v>17</v>
      </c>
      <c r="K63" s="2208"/>
      <c r="L63" s="2200" t="s">
        <v>56</v>
      </c>
      <c r="M63" s="2032"/>
      <c r="N63" s="1844"/>
      <c r="O63" s="1845" t="s">
        <v>370</v>
      </c>
      <c r="P63" s="1844"/>
      <c r="Q63" s="1844"/>
      <c r="R63" s="1844"/>
      <c r="S63" s="1844"/>
      <c r="T63" s="1844"/>
      <c r="U63" s="1844"/>
      <c r="V63" s="1844"/>
      <c r="W63" s="1844"/>
      <c r="X63" s="1844"/>
      <c r="Y63" s="1053"/>
      <c r="Z63" s="1053"/>
      <c r="AA63" s="1053"/>
      <c r="AB63" s="1844"/>
      <c r="AC63" s="1053"/>
      <c r="AD63" s="1844"/>
      <c r="AE63" s="1844"/>
      <c r="AF63" s="2204">
        <v>5</v>
      </c>
      <c r="AG63" s="2200" t="s">
        <v>1002</v>
      </c>
      <c r="AH63" s="2200" t="s">
        <v>2018</v>
      </c>
      <c r="AI63" s="2204">
        <v>0</v>
      </c>
      <c r="AJ63" s="2200" t="s">
        <v>1002</v>
      </c>
      <c r="AK63" s="2200" t="s">
        <v>2018</v>
      </c>
      <c r="AM63" s="1033"/>
      <c r="AN63" s="1033"/>
      <c r="AO63" s="1033"/>
      <c r="AP63" s="1033"/>
      <c r="AQ63" s="1033"/>
      <c r="AR63" s="1033"/>
      <c r="AS63" s="1033"/>
      <c r="AT63" s="1033"/>
      <c r="AU63" s="1033"/>
      <c r="AV63" s="1033"/>
      <c r="AW63" s="1033"/>
      <c r="AX63" s="1033"/>
      <c r="AY63" s="1033"/>
      <c r="AZ63" s="1033"/>
      <c r="BA63" s="1033"/>
      <c r="BB63" s="1033"/>
      <c r="BC63" s="1033"/>
      <c r="BD63" s="1033"/>
      <c r="BE63" s="1033"/>
      <c r="BF63" s="1033"/>
    </row>
    <row r="64" spans="1:58" ht="11.25" customHeight="1">
      <c r="A64" s="1821" t="s">
        <v>1987</v>
      </c>
      <c r="C64" s="1042"/>
      <c r="D64" s="1036"/>
      <c r="E64" s="1046"/>
      <c r="F64" s="2202"/>
      <c r="G64" s="2160"/>
      <c r="H64" s="2160"/>
      <c r="I64" s="2206"/>
      <c r="J64" s="2373"/>
      <c r="K64" s="2208"/>
      <c r="L64" s="2200"/>
      <c r="M64" s="2032"/>
      <c r="N64" s="2209"/>
      <c r="O64" s="2175">
        <v>1</v>
      </c>
      <c r="P64" s="2170" t="s">
        <v>56</v>
      </c>
      <c r="Q64" s="2173" t="s">
        <v>17</v>
      </c>
      <c r="R64" s="2173" t="s">
        <v>17</v>
      </c>
      <c r="S64" s="2173" t="s">
        <v>17</v>
      </c>
      <c r="T64" s="2173" t="s">
        <v>17</v>
      </c>
      <c r="U64" s="2173" t="s">
        <v>17</v>
      </c>
      <c r="V64" s="2173" t="s">
        <v>17</v>
      </c>
      <c r="W64" s="2173" t="s">
        <v>17</v>
      </c>
      <c r="X64" s="2173" t="s">
        <v>17</v>
      </c>
      <c r="Y64" s="2173"/>
      <c r="Z64" s="1050"/>
      <c r="AA64" s="1051"/>
      <c r="AB64" s="1847"/>
      <c r="AC64" s="1661"/>
      <c r="AD64" s="1848"/>
      <c r="AE64" s="1849"/>
      <c r="AF64" s="2204"/>
      <c r="AG64" s="2200"/>
      <c r="AH64" s="2200"/>
      <c r="AI64" s="2204"/>
      <c r="AJ64" s="2200"/>
      <c r="AK64" s="2200"/>
      <c r="AM64" s="1033"/>
      <c r="AN64" s="1033"/>
      <c r="AO64" s="1033"/>
      <c r="AP64" s="1033"/>
      <c r="AQ64" s="1033"/>
      <c r="AR64" s="1033"/>
      <c r="AS64" s="1033"/>
      <c r="AT64" s="1033"/>
      <c r="AU64" s="1033"/>
      <c r="AV64" s="1033"/>
      <c r="AW64" s="1033"/>
      <c r="AX64" s="1033"/>
      <c r="AY64" s="1033"/>
      <c r="AZ64" s="1033"/>
      <c r="BA64" s="1033"/>
      <c r="BB64" s="1033"/>
      <c r="BC64" s="1033"/>
      <c r="BD64" s="1033"/>
      <c r="BE64" s="1033"/>
      <c r="BF64" s="1033"/>
    </row>
    <row r="65" spans="1:58" ht="11.25" customHeight="1">
      <c r="A65" s="1821" t="s">
        <v>1987</v>
      </c>
      <c r="C65" s="1042"/>
      <c r="D65" s="1036"/>
      <c r="E65" s="1046"/>
      <c r="F65" s="2202"/>
      <c r="G65" s="2160"/>
      <c r="H65" s="2160"/>
      <c r="I65" s="2206"/>
      <c r="J65" s="2373"/>
      <c r="K65" s="2208"/>
      <c r="L65" s="2200"/>
      <c r="M65" s="2032"/>
      <c r="N65" s="2209"/>
      <c r="O65" s="2175"/>
      <c r="P65" s="2171"/>
      <c r="Q65" s="2173"/>
      <c r="R65" s="2173"/>
      <c r="S65" s="2205"/>
      <c r="T65" s="2173"/>
      <c r="U65" s="2173"/>
      <c r="V65" s="2173"/>
      <c r="W65" s="2173"/>
      <c r="X65" s="2173"/>
      <c r="Y65" s="2173"/>
      <c r="Z65" s="1054"/>
      <c r="AA65" s="1055">
        <v>1</v>
      </c>
      <c r="AB65" s="1850" t="s">
        <v>888</v>
      </c>
      <c r="AC65" s="1045">
        <v>24666.195271744</v>
      </c>
      <c r="AD65" s="1663" t="str">
        <f>AB65</f>
        <v xml:space="preserve">  Прибыль направляемая на инвестиции</v>
      </c>
      <c r="AE65" s="1851">
        <v>0</v>
      </c>
      <c r="AF65" s="2204"/>
      <c r="AG65" s="2200"/>
      <c r="AH65" s="2200"/>
      <c r="AI65" s="2204"/>
      <c r="AJ65" s="2200"/>
      <c r="AK65" s="2200"/>
      <c r="AM65" s="1033"/>
      <c r="AN65" s="1033"/>
      <c r="AO65" s="1033"/>
      <c r="AP65" s="1033"/>
      <c r="AQ65" s="1033"/>
      <c r="AR65" s="1033"/>
      <c r="AS65" s="1033"/>
      <c r="AT65" s="1033"/>
      <c r="AU65" s="1033"/>
      <c r="AV65" s="1033"/>
      <c r="AW65" s="1033"/>
      <c r="AX65" s="1033"/>
      <c r="AY65" s="1033"/>
      <c r="AZ65" s="1033"/>
      <c r="BA65" s="1033"/>
      <c r="BB65" s="1033"/>
      <c r="BC65" s="1033"/>
      <c r="BD65" s="1033"/>
      <c r="BE65" s="1033"/>
      <c r="BF65" s="1033"/>
    </row>
    <row r="66" spans="1:58" ht="11.25" customHeight="1">
      <c r="A66" s="1821" t="s">
        <v>1987</v>
      </c>
      <c r="C66" s="1042"/>
      <c r="D66" s="1036"/>
      <c r="E66" s="1046"/>
      <c r="F66" s="2202"/>
      <c r="G66" s="2160"/>
      <c r="H66" s="2160"/>
      <c r="I66" s="2206"/>
      <c r="J66" s="2373"/>
      <c r="K66" s="2208"/>
      <c r="L66" s="2200"/>
      <c r="M66" s="2032"/>
      <c r="N66" s="2209"/>
      <c r="O66" s="2175"/>
      <c r="P66" s="2172"/>
      <c r="Q66" s="2173"/>
      <c r="R66" s="2173"/>
      <c r="S66" s="2205"/>
      <c r="T66" s="2173"/>
      <c r="U66" s="2173"/>
      <c r="V66" s="2173"/>
      <c r="W66" s="2173"/>
      <c r="X66" s="2173"/>
      <c r="Y66" s="2173"/>
      <c r="Z66" s="1050"/>
      <c r="AA66" s="1051"/>
      <c r="AB66" s="1852" t="s">
        <v>1410</v>
      </c>
      <c r="AC66" s="1661"/>
      <c r="AD66" s="1848"/>
      <c r="AE66" s="1853"/>
      <c r="AF66" s="2204"/>
      <c r="AG66" s="2200"/>
      <c r="AH66" s="2200"/>
      <c r="AI66" s="2204"/>
      <c r="AJ66" s="2200"/>
      <c r="AK66" s="2200"/>
      <c r="AM66" s="1033"/>
      <c r="AN66" s="1033"/>
      <c r="AO66" s="1033"/>
      <c r="AP66" s="1033"/>
      <c r="AQ66" s="1033"/>
      <c r="AR66" s="1033"/>
      <c r="AS66" s="1033"/>
      <c r="AT66" s="1033"/>
      <c r="AU66" s="1033"/>
      <c r="AV66" s="1033"/>
      <c r="AW66" s="1033"/>
      <c r="AX66" s="1033"/>
      <c r="AY66" s="1033"/>
      <c r="AZ66" s="1033"/>
      <c r="BA66" s="1033"/>
      <c r="BB66" s="1033"/>
      <c r="BC66" s="1033"/>
      <c r="BD66" s="1033"/>
      <c r="BE66" s="1033"/>
      <c r="BF66" s="1033"/>
    </row>
    <row r="67" spans="1:58" ht="11.25" customHeight="1">
      <c r="A67" s="1821" t="s">
        <v>1987</v>
      </c>
      <c r="C67" s="1042"/>
      <c r="D67" s="1036"/>
      <c r="E67" s="1046"/>
      <c r="F67" s="2202"/>
      <c r="G67" s="2160"/>
      <c r="H67" s="2160"/>
      <c r="I67" s="2206"/>
      <c r="J67" s="2373"/>
      <c r="K67" s="2208"/>
      <c r="L67" s="2200"/>
      <c r="M67" s="2032"/>
      <c r="N67" s="1847"/>
      <c r="O67" s="1847"/>
      <c r="P67" s="1854" t="s">
        <v>1411</v>
      </c>
      <c r="Q67" s="1847"/>
      <c r="R67" s="1847"/>
      <c r="S67" s="1847"/>
      <c r="T67" s="1847"/>
      <c r="U67" s="1847"/>
      <c r="V67" s="1847"/>
      <c r="W67" s="1847"/>
      <c r="X67" s="1847"/>
      <c r="Y67" s="1051"/>
      <c r="Z67" s="1051"/>
      <c r="AA67" s="1051"/>
      <c r="AB67" s="1847"/>
      <c r="AC67" s="1051"/>
      <c r="AD67" s="1847"/>
      <c r="AE67" s="1855"/>
      <c r="AF67" s="2204"/>
      <c r="AG67" s="2200"/>
      <c r="AH67" s="2200"/>
      <c r="AI67" s="2204"/>
      <c r="AJ67" s="2200"/>
      <c r="AK67" s="2200"/>
      <c r="AM67" s="1033"/>
      <c r="AN67" s="1033"/>
      <c r="AO67" s="1033"/>
      <c r="AP67" s="1033"/>
      <c r="AQ67" s="1033"/>
      <c r="AR67" s="1033"/>
      <c r="AS67" s="1033"/>
      <c r="AT67" s="1033"/>
      <c r="AU67" s="1033"/>
      <c r="AV67" s="1033"/>
      <c r="AW67" s="1033"/>
      <c r="AX67" s="1033"/>
      <c r="AY67" s="1033"/>
      <c r="AZ67" s="1033"/>
      <c r="BA67" s="1033"/>
      <c r="BB67" s="1033"/>
      <c r="BC67" s="1033"/>
      <c r="BD67" s="1033"/>
      <c r="BE67" s="1033"/>
      <c r="BF67" s="1033"/>
    </row>
    <row r="68" spans="1:58" ht="11.25" customHeight="1">
      <c r="A68" s="1042" t="s">
        <v>1987</v>
      </c>
      <c r="B68" s="1042" t="s">
        <v>1337</v>
      </c>
      <c r="C68" s="1042"/>
      <c r="D68" s="1036"/>
      <c r="E68" s="1046"/>
      <c r="F68" s="2371"/>
      <c r="G68" s="2360" t="s">
        <v>1109</v>
      </c>
      <c r="H68" s="2160" t="s">
        <v>110</v>
      </c>
      <c r="I68" s="2206" t="s">
        <v>1285</v>
      </c>
      <c r="J68" s="2207" t="s">
        <v>1345</v>
      </c>
      <c r="K68" s="2208"/>
      <c r="L68" s="2200" t="s">
        <v>56</v>
      </c>
      <c r="M68" s="2032"/>
      <c r="N68" s="1053"/>
      <c r="O68" s="1052" t="s">
        <v>370</v>
      </c>
      <c r="P68" s="1053"/>
      <c r="Q68" s="1053"/>
      <c r="R68" s="1053"/>
      <c r="S68" s="1053"/>
      <c r="T68" s="1053"/>
      <c r="U68" s="1053"/>
      <c r="V68" s="1053"/>
      <c r="W68" s="1053"/>
      <c r="X68" s="1053"/>
      <c r="Y68" s="1053"/>
      <c r="Z68" s="1053"/>
      <c r="AA68" s="1053"/>
      <c r="AB68" s="1053"/>
      <c r="AC68" s="1053"/>
      <c r="AD68" s="1053"/>
      <c r="AE68" s="1053"/>
      <c r="AF68" s="2204">
        <v>5</v>
      </c>
      <c r="AG68" s="2200" t="s">
        <v>1002</v>
      </c>
      <c r="AH68" s="2200" t="s">
        <v>2018</v>
      </c>
      <c r="AI68" s="2204">
        <v>0</v>
      </c>
      <c r="AJ68" s="2200" t="s">
        <v>1002</v>
      </c>
      <c r="AK68" s="2200" t="s">
        <v>2018</v>
      </c>
      <c r="AL68" s="1048"/>
      <c r="AM68" s="1033"/>
      <c r="AN68" s="1033"/>
      <c r="AO68" s="1033"/>
      <c r="AP68" s="1033"/>
      <c r="AQ68" s="1033"/>
      <c r="AR68" s="1033"/>
      <c r="AS68" s="1033"/>
      <c r="AT68" s="1033"/>
      <c r="AU68" s="1033"/>
      <c r="AV68" s="1033"/>
      <c r="AW68" s="1033"/>
      <c r="AX68" s="1033"/>
      <c r="AY68" s="1033"/>
      <c r="AZ68" s="1033"/>
      <c r="BA68" s="1033"/>
      <c r="BB68" s="1033"/>
      <c r="BC68" s="1033"/>
      <c r="BD68" s="1033"/>
      <c r="BE68" s="1033"/>
      <c r="BF68" s="1033"/>
    </row>
    <row r="69" spans="1:58" ht="11.25" customHeight="1">
      <c r="A69" s="1042" t="s">
        <v>1987</v>
      </c>
      <c r="B69" s="1042"/>
      <c r="C69" s="1042"/>
      <c r="D69" s="1036"/>
      <c r="E69" s="1046"/>
      <c r="F69" s="2371"/>
      <c r="G69" s="2376"/>
      <c r="H69" s="2160" t="s">
        <v>109</v>
      </c>
      <c r="I69" s="2206"/>
      <c r="J69" s="2207"/>
      <c r="K69" s="2208"/>
      <c r="L69" s="2200"/>
      <c r="M69" s="2032"/>
      <c r="N69" s="2209"/>
      <c r="O69" s="2175">
        <v>1</v>
      </c>
      <c r="P69" s="2170" t="s">
        <v>56</v>
      </c>
      <c r="Q69" s="2173" t="s">
        <v>17</v>
      </c>
      <c r="R69" s="2173" t="s">
        <v>17</v>
      </c>
      <c r="S69" s="2173" t="s">
        <v>17</v>
      </c>
      <c r="T69" s="2173" t="s">
        <v>17</v>
      </c>
      <c r="U69" s="2173" t="s">
        <v>17</v>
      </c>
      <c r="V69" s="2173" t="s">
        <v>17</v>
      </c>
      <c r="W69" s="2173" t="s">
        <v>17</v>
      </c>
      <c r="X69" s="2173" t="s">
        <v>17</v>
      </c>
      <c r="Y69" s="2173"/>
      <c r="Z69" s="1050"/>
      <c r="AA69" s="1051"/>
      <c r="AB69" s="1051"/>
      <c r="AC69" s="1661"/>
      <c r="AD69" s="1661"/>
      <c r="AE69" s="1662"/>
      <c r="AF69" s="2204"/>
      <c r="AG69" s="2200"/>
      <c r="AH69" s="2200"/>
      <c r="AI69" s="2204"/>
      <c r="AJ69" s="2200"/>
      <c r="AK69" s="2200"/>
      <c r="AL69" s="1048"/>
      <c r="AM69" s="1033"/>
      <c r="AN69" s="1033"/>
      <c r="AO69" s="1033"/>
      <c r="AP69" s="1033"/>
      <c r="AQ69" s="1033"/>
      <c r="AR69" s="1033"/>
      <c r="AS69" s="1033"/>
      <c r="AT69" s="1033"/>
      <c r="AU69" s="1033"/>
      <c r="AV69" s="1033"/>
      <c r="AW69" s="1033"/>
      <c r="AX69" s="1033"/>
      <c r="AY69" s="1033"/>
      <c r="AZ69" s="1033"/>
      <c r="BA69" s="1033"/>
      <c r="BB69" s="1033"/>
      <c r="BC69" s="1033"/>
      <c r="BD69" s="1033"/>
      <c r="BE69" s="1033"/>
      <c r="BF69" s="1033"/>
    </row>
    <row r="70" spans="1:58" ht="11.25" customHeight="1">
      <c r="A70" s="1042" t="s">
        <v>1987</v>
      </c>
      <c r="B70" s="1042"/>
      <c r="C70" s="1042"/>
      <c r="D70" s="1036"/>
      <c r="E70" s="1046"/>
      <c r="F70" s="2371"/>
      <c r="G70" s="2376"/>
      <c r="H70" s="2160" t="s">
        <v>109</v>
      </c>
      <c r="I70" s="2206"/>
      <c r="J70" s="2207"/>
      <c r="K70" s="2208"/>
      <c r="L70" s="2200"/>
      <c r="M70" s="2032"/>
      <c r="N70" s="2209"/>
      <c r="O70" s="2175"/>
      <c r="P70" s="2171"/>
      <c r="Q70" s="2173"/>
      <c r="R70" s="2173"/>
      <c r="S70" s="2205"/>
      <c r="T70" s="2173"/>
      <c r="U70" s="2173"/>
      <c r="V70" s="2173"/>
      <c r="W70" s="2173"/>
      <c r="X70" s="2173"/>
      <c r="Y70" s="2173"/>
      <c r="Z70" s="1054"/>
      <c r="AA70" s="1617">
        <v>1</v>
      </c>
      <c r="AB70" s="1663" t="s">
        <v>888</v>
      </c>
      <c r="AC70" s="1045">
        <v>109156.96922090799</v>
      </c>
      <c r="AD70" s="1663" t="str">
        <f>AB70</f>
        <v xml:space="preserve">  Прибыль направляемая на инвестиции</v>
      </c>
      <c r="AE70" s="1045">
        <v>0</v>
      </c>
      <c r="AF70" s="2204"/>
      <c r="AG70" s="2200"/>
      <c r="AH70" s="2200"/>
      <c r="AI70" s="2204"/>
      <c r="AJ70" s="2200"/>
      <c r="AK70" s="2200"/>
      <c r="AL70" s="1048"/>
      <c r="AM70" s="1033"/>
      <c r="AN70" s="1033"/>
      <c r="AO70" s="1033"/>
      <c r="AP70" s="1033"/>
      <c r="AQ70" s="1033"/>
      <c r="AR70" s="1033"/>
      <c r="AS70" s="1033"/>
      <c r="AT70" s="1033"/>
      <c r="AU70" s="1033"/>
      <c r="AV70" s="1033"/>
      <c r="AW70" s="1033"/>
      <c r="AX70" s="1033"/>
      <c r="AY70" s="1033"/>
      <c r="AZ70" s="1033"/>
      <c r="BA70" s="1033"/>
      <c r="BB70" s="1033"/>
      <c r="BC70" s="1033"/>
      <c r="BD70" s="1033"/>
      <c r="BE70" s="1033"/>
      <c r="BF70" s="1033"/>
    </row>
    <row r="71" spans="1:58" ht="11.25" customHeight="1">
      <c r="A71" s="1042" t="s">
        <v>1987</v>
      </c>
      <c r="B71" s="1042"/>
      <c r="C71" s="1042"/>
      <c r="D71" s="1036"/>
      <c r="E71" s="1046"/>
      <c r="F71" s="2372"/>
      <c r="G71" s="2372"/>
      <c r="H71" s="2372"/>
      <c r="I71" s="2372"/>
      <c r="J71" s="2372"/>
      <c r="K71" s="2372"/>
      <c r="L71" s="2372"/>
      <c r="M71" s="2372"/>
      <c r="N71" s="2372"/>
      <c r="O71" s="2372"/>
      <c r="P71" s="2372"/>
      <c r="Q71" s="2372"/>
      <c r="R71" s="2372"/>
      <c r="S71" s="2372"/>
      <c r="T71" s="2372"/>
      <c r="U71" s="2372"/>
      <c r="V71" s="2372"/>
      <c r="W71" s="2372"/>
      <c r="X71" s="2372"/>
      <c r="Y71" s="2372"/>
      <c r="Z71" s="1704" t="s">
        <v>1109</v>
      </c>
      <c r="AA71" s="1617" t="s">
        <v>110</v>
      </c>
      <c r="AB71" s="1663" t="s">
        <v>925</v>
      </c>
      <c r="AC71" s="1045">
        <v>119660.37005558801</v>
      </c>
      <c r="AD71" s="1663" t="str">
        <f>AB71</f>
        <v xml:space="preserve">      Амортизационные отчисления с выделением результатов переоценки основных средств и нематериальных активов</v>
      </c>
      <c r="AE71" s="1045">
        <v>0</v>
      </c>
      <c r="AF71" s="2374"/>
      <c r="AG71" s="2375"/>
      <c r="AH71" s="2375"/>
      <c r="AI71" s="2374"/>
      <c r="AJ71" s="2375"/>
      <c r="AK71" s="2375"/>
      <c r="AL71" s="1048"/>
      <c r="AM71" s="1033"/>
      <c r="AN71" s="1033"/>
      <c r="AO71" s="1033"/>
      <c r="AP71" s="1033"/>
      <c r="AQ71" s="1033"/>
      <c r="AR71" s="1033"/>
      <c r="AS71" s="1033"/>
      <c r="AT71" s="1033"/>
      <c r="AU71" s="1033"/>
      <c r="AV71" s="1033"/>
      <c r="AW71" s="1033"/>
      <c r="AX71" s="1033"/>
      <c r="AY71" s="1033"/>
      <c r="AZ71" s="1033"/>
      <c r="BA71" s="1033"/>
      <c r="BB71" s="1033"/>
      <c r="BC71" s="1033"/>
      <c r="BD71" s="1033"/>
      <c r="BE71" s="1033"/>
      <c r="BF71" s="1033"/>
    </row>
    <row r="72" spans="1:58" ht="11.25" customHeight="1">
      <c r="A72" s="1042" t="s">
        <v>1987</v>
      </c>
      <c r="B72" s="1042"/>
      <c r="C72" s="1042"/>
      <c r="D72" s="1036"/>
      <c r="E72" s="1046"/>
      <c r="F72" s="2371"/>
      <c r="G72" s="2376"/>
      <c r="H72" s="2160" t="s">
        <v>109</v>
      </c>
      <c r="I72" s="2206"/>
      <c r="J72" s="2207"/>
      <c r="K72" s="2208"/>
      <c r="L72" s="2200"/>
      <c r="M72" s="2032"/>
      <c r="N72" s="2209"/>
      <c r="O72" s="2175"/>
      <c r="P72" s="2172"/>
      <c r="Q72" s="2173"/>
      <c r="R72" s="2173"/>
      <c r="S72" s="2205"/>
      <c r="T72" s="2173"/>
      <c r="U72" s="2173"/>
      <c r="V72" s="2173"/>
      <c r="W72" s="2173"/>
      <c r="X72" s="2173"/>
      <c r="Y72" s="2173"/>
      <c r="Z72" s="1050"/>
      <c r="AA72" s="1051"/>
      <c r="AB72" s="1114" t="s">
        <v>1410</v>
      </c>
      <c r="AC72" s="1661"/>
      <c r="AD72" s="1661"/>
      <c r="AE72" s="1664"/>
      <c r="AF72" s="2204"/>
      <c r="AG72" s="2200"/>
      <c r="AH72" s="2200"/>
      <c r="AI72" s="2204"/>
      <c r="AJ72" s="2200"/>
      <c r="AK72" s="2200"/>
      <c r="AL72" s="1048"/>
      <c r="AM72" s="1033"/>
      <c r="AN72" s="1033"/>
      <c r="AO72" s="1033"/>
      <c r="AP72" s="1033"/>
      <c r="AQ72" s="1033"/>
      <c r="AR72" s="1033"/>
      <c r="AS72" s="1033"/>
      <c r="AT72" s="1033"/>
      <c r="AU72" s="1033"/>
      <c r="AV72" s="1033"/>
      <c r="AW72" s="1033"/>
      <c r="AX72" s="1033"/>
      <c r="AY72" s="1033"/>
      <c r="AZ72" s="1033"/>
      <c r="BA72" s="1033"/>
      <c r="BB72" s="1033"/>
      <c r="BC72" s="1033"/>
      <c r="BD72" s="1033"/>
      <c r="BE72" s="1033"/>
      <c r="BF72" s="1033"/>
    </row>
    <row r="73" spans="1:58" ht="11.25" customHeight="1">
      <c r="A73" s="1042" t="s">
        <v>1987</v>
      </c>
      <c r="B73" s="1042"/>
      <c r="C73" s="1042"/>
      <c r="D73" s="1036"/>
      <c r="E73" s="1046"/>
      <c r="F73" s="2371"/>
      <c r="G73" s="2376"/>
      <c r="H73" s="2160" t="s">
        <v>109</v>
      </c>
      <c r="I73" s="2206"/>
      <c r="J73" s="2207"/>
      <c r="K73" s="2208"/>
      <c r="L73" s="2200"/>
      <c r="M73" s="2032"/>
      <c r="N73" s="1051"/>
      <c r="O73" s="1051"/>
      <c r="P73" s="1044" t="s">
        <v>1411</v>
      </c>
      <c r="Q73" s="1051"/>
      <c r="R73" s="1051"/>
      <c r="S73" s="1051"/>
      <c r="T73" s="1051"/>
      <c r="U73" s="1051"/>
      <c r="V73" s="1051"/>
      <c r="W73" s="1051"/>
      <c r="X73" s="1051"/>
      <c r="Y73" s="1051"/>
      <c r="Z73" s="1051"/>
      <c r="AA73" s="1051"/>
      <c r="AB73" s="1051"/>
      <c r="AC73" s="1051"/>
      <c r="AD73" s="1051"/>
      <c r="AE73" s="1056"/>
      <c r="AF73" s="2204"/>
      <c r="AG73" s="2200"/>
      <c r="AH73" s="2200"/>
      <c r="AI73" s="2204"/>
      <c r="AJ73" s="2200"/>
      <c r="AK73" s="2200"/>
      <c r="AL73" s="1048"/>
      <c r="AM73" s="1033"/>
      <c r="AN73" s="1033"/>
      <c r="AO73" s="1033"/>
      <c r="AP73" s="1033"/>
      <c r="AQ73" s="1033"/>
      <c r="AR73" s="1033"/>
      <c r="AS73" s="1033"/>
      <c r="AT73" s="1033"/>
      <c r="AU73" s="1033"/>
      <c r="AV73" s="1033"/>
      <c r="AW73" s="1033"/>
      <c r="AX73" s="1033"/>
      <c r="AY73" s="1033"/>
      <c r="AZ73" s="1033"/>
      <c r="BA73" s="1033"/>
      <c r="BB73" s="1033"/>
      <c r="BC73" s="1033"/>
      <c r="BD73" s="1033"/>
      <c r="BE73" s="1033"/>
      <c r="BF73" s="1033"/>
    </row>
    <row r="74" spans="1:58" ht="12" customHeight="1">
      <c r="A74" s="1821" t="s">
        <v>1987</v>
      </c>
      <c r="C74" s="1042"/>
      <c r="D74" s="1036"/>
      <c r="E74" s="1046"/>
      <c r="F74" s="2203"/>
      <c r="G74" s="1856"/>
      <c r="H74" s="1856"/>
      <c r="I74" s="2201" t="s">
        <v>1412</v>
      </c>
      <c r="J74" s="2201"/>
      <c r="K74" s="2201"/>
      <c r="L74" s="1857"/>
      <c r="M74" s="1857"/>
      <c r="N74" s="1858"/>
      <c r="O74" s="1858"/>
      <c r="P74" s="1858"/>
      <c r="Q74" s="1858"/>
      <c r="R74" s="1858"/>
      <c r="S74" s="1858"/>
      <c r="T74" s="1858"/>
      <c r="U74" s="1858"/>
      <c r="V74" s="1858"/>
      <c r="W74" s="1858"/>
      <c r="X74" s="1858"/>
      <c r="Y74" s="1049"/>
      <c r="Z74" s="1049"/>
      <c r="AA74" s="1049"/>
      <c r="AB74" s="1858"/>
      <c r="AC74" s="1049"/>
      <c r="AD74" s="1858"/>
      <c r="AE74" s="1858"/>
      <c r="AF74" s="1858"/>
      <c r="AG74" s="1857"/>
      <c r="AH74" s="1857"/>
      <c r="AI74" s="1858"/>
      <c r="AJ74" s="1857"/>
      <c r="AK74" s="1859"/>
      <c r="AM74" s="1033"/>
      <c r="AN74" s="1033"/>
      <c r="AO74" s="1033"/>
      <c r="AP74" s="1033"/>
      <c r="AQ74" s="1033"/>
      <c r="AR74" s="1033"/>
      <c r="AS74" s="1033"/>
      <c r="AT74" s="1033"/>
      <c r="AU74" s="1033"/>
      <c r="AV74" s="1033"/>
      <c r="AW74" s="1033"/>
      <c r="AX74" s="1033"/>
      <c r="AY74" s="1033"/>
      <c r="AZ74" s="1033"/>
      <c r="BA74" s="1033"/>
      <c r="BB74" s="1033"/>
      <c r="BC74" s="1033"/>
      <c r="BD74" s="1033"/>
      <c r="BE74" s="1033"/>
      <c r="BF74" s="1033"/>
    </row>
    <row r="75" spans="1:58" ht="10.5" customHeight="1">
      <c r="E75" s="808"/>
      <c r="F75" s="819"/>
      <c r="G75" s="819"/>
      <c r="H75" s="1048"/>
      <c r="I75" s="819"/>
      <c r="J75" s="819"/>
      <c r="K75" s="819"/>
      <c r="L75" s="1010"/>
      <c r="M75" s="1010"/>
      <c r="N75" s="819"/>
      <c r="O75" s="819"/>
      <c r="P75" s="819"/>
      <c r="Q75" s="819"/>
      <c r="R75" s="819"/>
      <c r="S75" s="819"/>
      <c r="T75" s="819"/>
      <c r="U75" s="819"/>
      <c r="V75" s="819"/>
      <c r="W75" s="819"/>
      <c r="X75" s="819"/>
      <c r="Y75" s="819"/>
      <c r="Z75" s="819"/>
      <c r="AA75" s="819"/>
      <c r="AB75" s="819"/>
      <c r="AC75" s="819"/>
      <c r="AD75" s="1010"/>
      <c r="AE75" s="819"/>
      <c r="AF75" s="819"/>
      <c r="AG75" s="819"/>
      <c r="AH75" s="1026"/>
      <c r="AI75" s="1020"/>
      <c r="AJ75" s="819"/>
      <c r="AK75" s="819"/>
      <c r="AL75" s="808"/>
      <c r="AM75" s="808"/>
      <c r="AN75" s="808"/>
      <c r="AO75" s="808"/>
      <c r="AP75" s="808"/>
      <c r="AQ75" s="808"/>
      <c r="AR75" s="808"/>
      <c r="AS75" s="808"/>
      <c r="AT75" s="808"/>
      <c r="AU75" s="808"/>
      <c r="AV75" s="808"/>
      <c r="AW75" s="808"/>
      <c r="AX75" s="808"/>
      <c r="AY75" s="808"/>
      <c r="AZ75" s="808"/>
      <c r="BA75" s="808"/>
      <c r="BB75" s="808"/>
      <c r="BC75" s="808"/>
      <c r="BD75" s="808"/>
      <c r="BE75" s="808"/>
      <c r="BF75" s="808"/>
    </row>
    <row r="76" spans="1:58" ht="12.75" customHeight="1">
      <c r="E76" s="808"/>
      <c r="F76" s="815" t="s">
        <v>2019</v>
      </c>
      <c r="G76" s="815"/>
      <c r="H76" s="1047"/>
      <c r="I76" s="815"/>
      <c r="J76" s="815"/>
      <c r="K76" s="812"/>
      <c r="L76" s="1006"/>
      <c r="M76" s="1006"/>
      <c r="N76" s="814"/>
      <c r="O76" s="814"/>
      <c r="P76" s="814"/>
      <c r="Q76" s="814"/>
      <c r="R76" s="814"/>
      <c r="S76" s="814"/>
      <c r="T76" s="814"/>
      <c r="U76" s="814"/>
      <c r="V76" s="814"/>
      <c r="W76" s="814"/>
      <c r="X76" s="814"/>
      <c r="Y76" s="814"/>
      <c r="Z76" s="812"/>
      <c r="AA76" s="812"/>
      <c r="AB76" s="812"/>
      <c r="AC76" s="812"/>
      <c r="AD76" s="1006"/>
      <c r="AE76" s="812"/>
      <c r="AF76" s="812"/>
      <c r="AG76" s="812"/>
      <c r="AH76" s="1023"/>
      <c r="AI76" s="1017"/>
      <c r="AJ76" s="812"/>
      <c r="AK76" s="812"/>
      <c r="AL76" s="808"/>
      <c r="AM76" s="808"/>
      <c r="AN76" s="808"/>
      <c r="AO76" s="808"/>
      <c r="AP76" s="808"/>
      <c r="AQ76" s="808"/>
      <c r="AR76" s="808"/>
      <c r="AS76" s="808"/>
      <c r="AT76" s="808"/>
      <c r="AU76" s="808"/>
      <c r="AV76" s="808"/>
      <c r="AW76" s="808"/>
      <c r="AX76" s="808"/>
      <c r="AY76" s="808"/>
      <c r="AZ76" s="808"/>
      <c r="BA76" s="808"/>
      <c r="BB76" s="808"/>
      <c r="BC76" s="808"/>
      <c r="BD76" s="808"/>
      <c r="BE76" s="808"/>
      <c r="BF76" s="808"/>
    </row>
    <row r="78" spans="1:58" ht="10.5" customHeight="1">
      <c r="E78" s="808"/>
      <c r="F78" s="2362"/>
      <c r="G78" s="2362"/>
      <c r="H78" s="2362"/>
      <c r="I78" s="2362"/>
      <c r="J78" s="2362"/>
      <c r="K78" s="812"/>
      <c r="L78" s="1006"/>
      <c r="M78" s="1006"/>
      <c r="N78" s="814"/>
      <c r="O78" s="814"/>
      <c r="P78" s="814"/>
      <c r="Q78" s="814"/>
      <c r="R78" s="814"/>
      <c r="S78" s="814"/>
      <c r="T78" s="814"/>
      <c r="U78" s="814"/>
      <c r="V78" s="814"/>
      <c r="W78" s="814"/>
      <c r="X78" s="814"/>
      <c r="Y78" s="814"/>
      <c r="Z78" s="812"/>
      <c r="AA78" s="812"/>
      <c r="AB78" s="812"/>
      <c r="AC78" s="812"/>
      <c r="AD78" s="1006"/>
      <c r="AE78" s="812"/>
      <c r="AF78" s="812"/>
      <c r="AG78" s="812"/>
      <c r="AH78" s="1023"/>
      <c r="AI78" s="1017"/>
      <c r="AJ78" s="812"/>
      <c r="AK78" s="812"/>
      <c r="AL78" s="808"/>
      <c r="AM78" s="808"/>
      <c r="AN78" s="808"/>
      <c r="AO78" s="808"/>
      <c r="AP78" s="808"/>
      <c r="AQ78" s="808"/>
      <c r="AR78" s="808"/>
      <c r="AS78" s="808"/>
      <c r="AT78" s="808"/>
      <c r="AU78" s="808"/>
      <c r="AV78" s="808"/>
      <c r="AW78" s="808"/>
      <c r="AX78" s="808"/>
      <c r="AY78" s="808"/>
      <c r="AZ78" s="808"/>
      <c r="BA78" s="808"/>
      <c r="BB78" s="808"/>
      <c r="BC78" s="808"/>
      <c r="BD78" s="808"/>
      <c r="BE78" s="808"/>
      <c r="BF78" s="808"/>
    </row>
    <row r="79" spans="1:58" ht="10.5" customHeight="1">
      <c r="E79" s="808"/>
      <c r="F79" s="2362"/>
      <c r="G79" s="2362"/>
      <c r="H79" s="2362"/>
      <c r="I79" s="2362"/>
      <c r="J79" s="2362"/>
      <c r="K79" s="812"/>
      <c r="L79" s="1006"/>
      <c r="M79" s="1006"/>
      <c r="N79" s="814"/>
      <c r="O79" s="814"/>
      <c r="P79" s="814"/>
      <c r="Q79" s="814"/>
      <c r="R79" s="814"/>
      <c r="S79" s="814"/>
      <c r="T79" s="814"/>
      <c r="U79" s="814"/>
      <c r="V79" s="814"/>
      <c r="W79" s="814"/>
      <c r="X79" s="814"/>
      <c r="Y79" s="814"/>
      <c r="Z79" s="812"/>
      <c r="AA79" s="812"/>
      <c r="AB79" s="812"/>
      <c r="AC79" s="812"/>
      <c r="AD79" s="1006"/>
      <c r="AE79" s="812"/>
      <c r="AF79" s="812"/>
      <c r="AG79" s="812"/>
      <c r="AH79" s="1023"/>
      <c r="AI79" s="1017"/>
      <c r="AJ79" s="812"/>
      <c r="AK79" s="812"/>
      <c r="AL79" s="808"/>
      <c r="AM79" s="808"/>
      <c r="AN79" s="808"/>
      <c r="AO79" s="808"/>
      <c r="AP79" s="808"/>
      <c r="AQ79" s="808"/>
      <c r="AR79" s="808"/>
      <c r="AS79" s="808"/>
      <c r="AT79" s="808"/>
      <c r="AU79" s="808"/>
      <c r="AV79" s="808"/>
      <c r="AW79" s="808"/>
      <c r="AX79" s="808"/>
      <c r="AY79" s="808"/>
      <c r="AZ79" s="808"/>
      <c r="BA79" s="808"/>
      <c r="BB79" s="808"/>
      <c r="BC79" s="808"/>
      <c r="BD79" s="808"/>
      <c r="BE79" s="808"/>
      <c r="BF79" s="808"/>
    </row>
    <row r="80" spans="1:58" ht="10.5" customHeight="1">
      <c r="E80" s="808"/>
      <c r="F80" s="2362"/>
      <c r="G80" s="2362"/>
      <c r="H80" s="2362"/>
      <c r="I80" s="2362"/>
      <c r="J80" s="2362"/>
      <c r="K80" s="812"/>
      <c r="L80" s="1006"/>
      <c r="M80" s="1006"/>
      <c r="N80" s="814"/>
      <c r="O80" s="814"/>
      <c r="P80" s="814"/>
      <c r="Q80" s="814"/>
      <c r="R80" s="814"/>
      <c r="S80" s="814"/>
      <c r="T80" s="814"/>
      <c r="U80" s="814"/>
      <c r="V80" s="814"/>
      <c r="W80" s="814"/>
      <c r="X80" s="814"/>
      <c r="Y80" s="814"/>
      <c r="Z80" s="812"/>
      <c r="AA80" s="812"/>
      <c r="AB80" s="812"/>
      <c r="AC80" s="812"/>
      <c r="AD80" s="1006"/>
      <c r="AE80" s="812"/>
      <c r="AF80" s="812"/>
      <c r="AG80" s="812"/>
      <c r="AH80" s="1023"/>
      <c r="AI80" s="1017"/>
      <c r="AJ80" s="812"/>
      <c r="AK80" s="812"/>
      <c r="AL80" s="808"/>
      <c r="AM80" s="808"/>
      <c r="AN80" s="808"/>
      <c r="AO80" s="808"/>
      <c r="AP80" s="808"/>
      <c r="AQ80" s="808"/>
      <c r="AR80" s="808"/>
      <c r="AS80" s="808"/>
      <c r="AT80" s="808"/>
      <c r="AU80" s="808"/>
      <c r="AV80" s="808"/>
      <c r="AW80" s="808"/>
      <c r="AX80" s="808"/>
      <c r="AY80" s="808"/>
      <c r="AZ80" s="808"/>
      <c r="BA80" s="808"/>
      <c r="BB80" s="808"/>
      <c r="BC80" s="808"/>
      <c r="BD80" s="808"/>
      <c r="BE80" s="808"/>
      <c r="BF80" s="808"/>
    </row>
  </sheetData>
  <sheetProtection formatColumns="0" formatRows="0" insertRows="0" deleteColumns="0" deleteRows="0" sort="0" autoFilter="0"/>
  <mergeCells count="288">
    <mergeCell ref="G68:G73"/>
    <mergeCell ref="K68:K73"/>
    <mergeCell ref="L68:L73"/>
    <mergeCell ref="M68:M73"/>
    <mergeCell ref="AF68:AF73"/>
    <mergeCell ref="AG68:AG73"/>
    <mergeCell ref="AH68:AH73"/>
    <mergeCell ref="AI68:AI73"/>
    <mergeCell ref="AJ68:AJ73"/>
    <mergeCell ref="AK68:AK73"/>
    <mergeCell ref="N69:N72"/>
    <mergeCell ref="O69:O72"/>
    <mergeCell ref="P69:P72"/>
    <mergeCell ref="Q69:Q72"/>
    <mergeCell ref="R69:R72"/>
    <mergeCell ref="S69:S72"/>
    <mergeCell ref="T69:T72"/>
    <mergeCell ref="U69:U72"/>
    <mergeCell ref="V69:V72"/>
    <mergeCell ref="W69:W72"/>
    <mergeCell ref="X69:X72"/>
    <mergeCell ref="Y69:Y72"/>
    <mergeCell ref="G44:G49"/>
    <mergeCell ref="H56:H61"/>
    <mergeCell ref="I56:I61"/>
    <mergeCell ref="J56:J61"/>
    <mergeCell ref="K56:K61"/>
    <mergeCell ref="L56:L61"/>
    <mergeCell ref="M56:M61"/>
    <mergeCell ref="AF56:AF61"/>
    <mergeCell ref="AG56:AG61"/>
    <mergeCell ref="N57:N60"/>
    <mergeCell ref="O57:O60"/>
    <mergeCell ref="P57:P60"/>
    <mergeCell ref="Q57:Q60"/>
    <mergeCell ref="R57:R60"/>
    <mergeCell ref="S57:S60"/>
    <mergeCell ref="T57:T60"/>
    <mergeCell ref="U57:U60"/>
    <mergeCell ref="V57:V60"/>
    <mergeCell ref="W57:W60"/>
    <mergeCell ref="X57:X60"/>
    <mergeCell ref="Y57:Y60"/>
    <mergeCell ref="G56:G61"/>
    <mergeCell ref="AJ44:AJ49"/>
    <mergeCell ref="AK44:AK49"/>
    <mergeCell ref="N45:N48"/>
    <mergeCell ref="O45:O48"/>
    <mergeCell ref="P45:P48"/>
    <mergeCell ref="Q45:Q48"/>
    <mergeCell ref="R45:R48"/>
    <mergeCell ref="S45:S48"/>
    <mergeCell ref="T45:T48"/>
    <mergeCell ref="U45:U48"/>
    <mergeCell ref="V45:V48"/>
    <mergeCell ref="W45:W48"/>
    <mergeCell ref="X45:X48"/>
    <mergeCell ref="Y45:Y48"/>
    <mergeCell ref="I44:I49"/>
    <mergeCell ref="J44:J49"/>
    <mergeCell ref="K44:K49"/>
    <mergeCell ref="L44:L49"/>
    <mergeCell ref="M44:M49"/>
    <mergeCell ref="AF44:AF49"/>
    <mergeCell ref="AG44:AG49"/>
    <mergeCell ref="AH44:AH49"/>
    <mergeCell ref="AI44:AI49"/>
    <mergeCell ref="AI32:AI37"/>
    <mergeCell ref="AJ32:AJ37"/>
    <mergeCell ref="AK32:AK37"/>
    <mergeCell ref="N33:N36"/>
    <mergeCell ref="O33:O36"/>
    <mergeCell ref="P33:P36"/>
    <mergeCell ref="Q33:Q36"/>
    <mergeCell ref="R33:R36"/>
    <mergeCell ref="S33:S36"/>
    <mergeCell ref="T33:T36"/>
    <mergeCell ref="U33:U36"/>
    <mergeCell ref="V33:V36"/>
    <mergeCell ref="W33:W36"/>
    <mergeCell ref="X33:X36"/>
    <mergeCell ref="Y33:Y36"/>
    <mergeCell ref="G20:G25"/>
    <mergeCell ref="H32:H37"/>
    <mergeCell ref="I32:I37"/>
    <mergeCell ref="J32:J37"/>
    <mergeCell ref="K32:K37"/>
    <mergeCell ref="L32:L37"/>
    <mergeCell ref="M32:M37"/>
    <mergeCell ref="AF32:AF37"/>
    <mergeCell ref="AG32:AG37"/>
    <mergeCell ref="G32:G37"/>
    <mergeCell ref="AI20:AI25"/>
    <mergeCell ref="AJ20:AJ25"/>
    <mergeCell ref="AK20:AK25"/>
    <mergeCell ref="N21:N24"/>
    <mergeCell ref="O21:O24"/>
    <mergeCell ref="P21:P24"/>
    <mergeCell ref="Q21:Q24"/>
    <mergeCell ref="R21:R24"/>
    <mergeCell ref="S21:S24"/>
    <mergeCell ref="T21:T24"/>
    <mergeCell ref="U21:U24"/>
    <mergeCell ref="V21:V24"/>
    <mergeCell ref="W21:W24"/>
    <mergeCell ref="X21:X24"/>
    <mergeCell ref="Y21:Y24"/>
    <mergeCell ref="H20:H25"/>
    <mergeCell ref="I20:I25"/>
    <mergeCell ref="J20:J25"/>
    <mergeCell ref="K20:K25"/>
    <mergeCell ref="L20:L25"/>
    <mergeCell ref="M20:M25"/>
    <mergeCell ref="AF20:AF25"/>
    <mergeCell ref="AG20:AG25"/>
    <mergeCell ref="AH20:AH25"/>
    <mergeCell ref="I74:K74"/>
    <mergeCell ref="F63:F74"/>
    <mergeCell ref="AF63:AF67"/>
    <mergeCell ref="AG63:AG67"/>
    <mergeCell ref="AH63:AH67"/>
    <mergeCell ref="AI63:AI67"/>
    <mergeCell ref="S64:S66"/>
    <mergeCell ref="T64:T66"/>
    <mergeCell ref="U64:U66"/>
    <mergeCell ref="V64:V66"/>
    <mergeCell ref="W64:W66"/>
    <mergeCell ref="X64:X66"/>
    <mergeCell ref="Y64:Y66"/>
    <mergeCell ref="H63:H67"/>
    <mergeCell ref="I63:I67"/>
    <mergeCell ref="J63:J67"/>
    <mergeCell ref="K63:K67"/>
    <mergeCell ref="L63:L67"/>
    <mergeCell ref="M63:M67"/>
    <mergeCell ref="N64:N66"/>
    <mergeCell ref="O64:O66"/>
    <mergeCell ref="H68:H73"/>
    <mergeCell ref="I68:I73"/>
    <mergeCell ref="J68:J73"/>
    <mergeCell ref="M51:M55"/>
    <mergeCell ref="N52:N54"/>
    <mergeCell ref="O52:O54"/>
    <mergeCell ref="G63:G67"/>
    <mergeCell ref="P64:P66"/>
    <mergeCell ref="Q64:Q66"/>
    <mergeCell ref="R64:R66"/>
    <mergeCell ref="AJ63:AJ67"/>
    <mergeCell ref="AK63:AK67"/>
    <mergeCell ref="AH56:AH61"/>
    <mergeCell ref="AI56:AI61"/>
    <mergeCell ref="AJ56:AJ61"/>
    <mergeCell ref="AK56:AK61"/>
    <mergeCell ref="G51:G55"/>
    <mergeCell ref="P52:P54"/>
    <mergeCell ref="Q52:Q54"/>
    <mergeCell ref="R52:R54"/>
    <mergeCell ref="AJ51:AJ55"/>
    <mergeCell ref="AK51:AK55"/>
    <mergeCell ref="I62:K62"/>
    <mergeCell ref="F51:F62"/>
    <mergeCell ref="AF51:AF55"/>
    <mergeCell ref="AG51:AG55"/>
    <mergeCell ref="AH51:AH55"/>
    <mergeCell ref="AI51:AI55"/>
    <mergeCell ref="S52:S54"/>
    <mergeCell ref="T52:T54"/>
    <mergeCell ref="U52:U54"/>
    <mergeCell ref="V52:V54"/>
    <mergeCell ref="W52:W54"/>
    <mergeCell ref="X52:X54"/>
    <mergeCell ref="Y52:Y54"/>
    <mergeCell ref="H51:H55"/>
    <mergeCell ref="I51:I55"/>
    <mergeCell ref="J51:J55"/>
    <mergeCell ref="K51:K55"/>
    <mergeCell ref="L51:L55"/>
    <mergeCell ref="AJ39:AJ43"/>
    <mergeCell ref="AK39:AK43"/>
    <mergeCell ref="I50:K50"/>
    <mergeCell ref="F39:F50"/>
    <mergeCell ref="AF39:AF43"/>
    <mergeCell ref="AG39:AG43"/>
    <mergeCell ref="AH39:AH43"/>
    <mergeCell ref="AI39:AI43"/>
    <mergeCell ref="S40:S42"/>
    <mergeCell ref="T40:T42"/>
    <mergeCell ref="U40:U42"/>
    <mergeCell ref="V40:V42"/>
    <mergeCell ref="W40:W42"/>
    <mergeCell ref="X40:X42"/>
    <mergeCell ref="Y40:Y42"/>
    <mergeCell ref="H39:H43"/>
    <mergeCell ref="I39:I43"/>
    <mergeCell ref="J39:J43"/>
    <mergeCell ref="K39:K43"/>
    <mergeCell ref="L39:L43"/>
    <mergeCell ref="M39:M43"/>
    <mergeCell ref="N40:N42"/>
    <mergeCell ref="O40:O42"/>
    <mergeCell ref="H44:H49"/>
    <mergeCell ref="AJ27:AJ31"/>
    <mergeCell ref="AK27:AK31"/>
    <mergeCell ref="I38:K38"/>
    <mergeCell ref="F27:F38"/>
    <mergeCell ref="AF27:AF31"/>
    <mergeCell ref="AG27:AG31"/>
    <mergeCell ref="AH27:AH31"/>
    <mergeCell ref="AI27:AI31"/>
    <mergeCell ref="S28:S30"/>
    <mergeCell ref="T28:T30"/>
    <mergeCell ref="U28:U30"/>
    <mergeCell ref="V28:V30"/>
    <mergeCell ref="W28:W30"/>
    <mergeCell ref="X28:X30"/>
    <mergeCell ref="Y28:Y30"/>
    <mergeCell ref="H27:H31"/>
    <mergeCell ref="I27:I31"/>
    <mergeCell ref="J27:J31"/>
    <mergeCell ref="K27:K31"/>
    <mergeCell ref="L27:L31"/>
    <mergeCell ref="M27:M31"/>
    <mergeCell ref="N28:N30"/>
    <mergeCell ref="O28:O30"/>
    <mergeCell ref="AH32:AH37"/>
    <mergeCell ref="F5:K5"/>
    <mergeCell ref="G15:G19"/>
    <mergeCell ref="P16:P18"/>
    <mergeCell ref="Q16:Q18"/>
    <mergeCell ref="R16:R18"/>
    <mergeCell ref="AJ15:AJ19"/>
    <mergeCell ref="AK15:AK19"/>
    <mergeCell ref="I26:K26"/>
    <mergeCell ref="F15:F26"/>
    <mergeCell ref="AF15:AF19"/>
    <mergeCell ref="AG15:AG19"/>
    <mergeCell ref="AH15:AH19"/>
    <mergeCell ref="AI15:AI19"/>
    <mergeCell ref="S16:S18"/>
    <mergeCell ref="T16:T18"/>
    <mergeCell ref="U16:U18"/>
    <mergeCell ref="V16:V18"/>
    <mergeCell ref="W16:W18"/>
    <mergeCell ref="X16:X18"/>
    <mergeCell ref="Y16:Y18"/>
    <mergeCell ref="H15:H19"/>
    <mergeCell ref="I15:I19"/>
    <mergeCell ref="J15:J19"/>
    <mergeCell ref="K15:K19"/>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AB9:AE10"/>
    <mergeCell ref="S11:Y11"/>
    <mergeCell ref="N10:Y10"/>
    <mergeCell ref="K9:Y9"/>
    <mergeCell ref="N11:O12"/>
    <mergeCell ref="P11:P12"/>
    <mergeCell ref="Q11:Q12"/>
    <mergeCell ref="F80:J80"/>
    <mergeCell ref="F9:F12"/>
    <mergeCell ref="G9:H12"/>
    <mergeCell ref="F79:J79"/>
    <mergeCell ref="F78:J78"/>
    <mergeCell ref="L15:L19"/>
    <mergeCell ref="M15:M19"/>
    <mergeCell ref="N16:N18"/>
    <mergeCell ref="O16:O18"/>
    <mergeCell ref="G27:G31"/>
    <mergeCell ref="P28:P30"/>
    <mergeCell ref="Q28:Q30"/>
    <mergeCell ref="R28:R30"/>
    <mergeCell ref="G39:G43"/>
    <mergeCell ref="P40:P42"/>
    <mergeCell ref="Q40:Q42"/>
    <mergeCell ref="R40:R42"/>
  </mergeCells>
  <dataValidations count="285">
    <dataValidation type="whole" allowBlank="1" showErrorMessage="1" errorTitle="Ошибка" error="Допускается ввод только неотрицательных целых чисел!" sqref="AI71">
      <formula1>0</formula1>
      <formula2>9.99999999999999E+23</formula2>
    </dataValidation>
    <dataValidation type="whole" allowBlank="1" showErrorMessage="1" errorTitle="Ошибка" error="Допускается ввод только неотрицательных целых чисел!" sqref="AF71">
      <formula1>0</formula1>
      <formula2>9.99999999999999E+23</formula2>
    </dataValidation>
    <dataValidation type="decimal" allowBlank="1" showErrorMessage="1" errorTitle="Ошибка" error="Допускается ввод только неотрицательных чисел!" sqref="AE71">
      <formula1>0</formula1>
      <formula2>9.99999999999999E+23</formula2>
    </dataValidation>
    <dataValidation type="decimal" allowBlank="1" showErrorMessage="1" errorTitle="Ошибка" error="Допускается ввод только неотрицательных чисел!" sqref="AC71">
      <formula1>0</formula1>
      <formula2>9.99999999999999E+23</formula2>
    </dataValidation>
    <dataValidation type="textLength" operator="lessThanOrEqual" allowBlank="1" showInputMessage="1" showErrorMessage="1" errorTitle="Ошибка" error="Допускается ввод не более 900 символов!" sqref="K7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1">
      <formula1>"a"</formula1>
    </dataValidation>
    <dataValidation type="whole" allowBlank="1" showErrorMessage="1" errorTitle="Ошибка" error="Допускается ввод только неотрицательных целых чисел!" sqref="AI59">
      <formula1>0</formula1>
      <formula2>9.99999999999999E+23</formula2>
    </dataValidation>
    <dataValidation type="whole" allowBlank="1" showErrorMessage="1" errorTitle="Ошибка" error="Допускается ввод только неотрицательных целых чисел!" sqref="AF59">
      <formula1>0</formula1>
      <formula2>9.99999999999999E+23</formula2>
    </dataValidation>
    <dataValidation type="decimal" allowBlank="1" showErrorMessage="1" errorTitle="Ошибка" error="Допускается ввод только неотрицательных чисел!" sqref="AE59">
      <formula1>0</formula1>
      <formula2>9.99999999999999E+23</formula2>
    </dataValidation>
    <dataValidation type="decimal" allowBlank="1" showErrorMessage="1" errorTitle="Ошибка" error="Допускается ввод только неотрицательных чисел!" sqref="AC59">
      <formula1>0</formula1>
      <formula2>9.99999999999999E+23</formula2>
    </dataValidation>
    <dataValidation type="textLength" operator="lessThanOrEqual" allowBlank="1" showInputMessage="1" showErrorMessage="1" errorTitle="Ошибка" error="Допускается ввод не более 900 символов!" sqref="K5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9">
      <formula1>"a"</formula1>
    </dataValidation>
    <dataValidation type="whole" allowBlank="1" showErrorMessage="1" errorTitle="Ошибка" error="Допускается ввод только неотрицательных целых чисел!" sqref="AI47">
      <formula1>0</formula1>
      <formula2>9.99999999999999E+23</formula2>
    </dataValidation>
    <dataValidation type="whole" allowBlank="1" showErrorMessage="1" errorTitle="Ошибка" error="Допускается ввод только неотрицательных целых чисел!" sqref="AF47">
      <formula1>0</formula1>
      <formula2>9.99999999999999E+23</formula2>
    </dataValidation>
    <dataValidation type="decimal" allowBlank="1" showErrorMessage="1" errorTitle="Ошибка" error="Допускается ввод только неотрицательных чисел!" sqref="AE47">
      <formula1>0</formula1>
      <formula2>9.99999999999999E+23</formula2>
    </dataValidation>
    <dataValidation type="decimal" allowBlank="1" showErrorMessage="1" errorTitle="Ошибка" error="Допускается ввод только неотрицательных чисел!" sqref="AC47">
      <formula1>0</formula1>
      <formula2>9.99999999999999E+23</formula2>
    </dataValidation>
    <dataValidation type="textLength" operator="lessThanOrEqual" allowBlank="1" showInputMessage="1" showErrorMessage="1" errorTitle="Ошибка" error="Допускается ввод не более 900 символов!" sqref="K4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7">
      <formula1>"a"</formula1>
    </dataValidation>
    <dataValidation type="whole" allowBlank="1" showErrorMessage="1" errorTitle="Ошибка" error="Допускается ввод только неотрицательных целых чисел!" sqref="AI35">
      <formula1>0</formula1>
      <formula2>9.99999999999999E+23</formula2>
    </dataValidation>
    <dataValidation type="whole" allowBlank="1" showErrorMessage="1" errorTitle="Ошибка" error="Допускается ввод только неотрицательных целых чисел!" sqref="AF35">
      <formula1>0</formula1>
      <formula2>9.99999999999999E+23</formula2>
    </dataValidation>
    <dataValidation type="decimal" allowBlank="1" showErrorMessage="1" errorTitle="Ошибка" error="Допускается ввод только неотрицательных чисел!" sqref="AE35">
      <formula1>0</formula1>
      <formula2>9.99999999999999E+23</formula2>
    </dataValidation>
    <dataValidation type="decimal" allowBlank="1" showErrorMessage="1" errorTitle="Ошибка" error="Допускается ввод только неотрицательных чисел!" sqref="AC35">
      <formula1>0</formula1>
      <formula2>9.99999999999999E+23</formula2>
    </dataValidation>
    <dataValidation type="textLength" operator="lessThanOrEqual" allowBlank="1" showInputMessage="1" showErrorMessage="1" errorTitle="Ошибка" error="Допускается ввод не более 900 символов!" sqref="K3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5">
      <formula1>"a"</formula1>
    </dataValidation>
    <dataValidation type="whole" allowBlank="1" showErrorMessage="1" errorTitle="Ошибка" error="Допускается ввод только неотрицательных целых чисел!" sqref="AI23">
      <formula1>0</formula1>
      <formula2>9.99999999999999E+23</formula2>
    </dataValidation>
    <dataValidation type="whole" allowBlank="1" showErrorMessage="1" errorTitle="Ошибка" error="Допускается ввод только неотрицательных целых чисел!" sqref="AF23">
      <formula1>0</formula1>
      <formula2>9.99999999999999E+23</formula2>
    </dataValidation>
    <dataValidation type="decimal" allowBlank="1" showErrorMessage="1" errorTitle="Ошибка" error="Допускается ввод только неотрицательных чисел!" sqref="AE23">
      <formula1>0</formula1>
      <formula2>9.99999999999999E+23</formula2>
    </dataValidation>
    <dataValidation type="decimal" allowBlank="1" showErrorMessage="1" errorTitle="Ошибка" error="Допускается ввод только неотрицательных чисел!" sqref="AC23">
      <formula1>0</formula1>
      <formula2>9.99999999999999E+23</formula2>
    </dataValidation>
    <dataValidation type="textLength" operator="lessThanOrEqual" allowBlank="1" showInputMessage="1" showErrorMessage="1" errorTitle="Ошибка" error="Допускается ввод не более 900 символов!" sqref="K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
      <formula1>"a"</formula1>
    </dataValidation>
    <dataValidation type="whole" allowBlank="1" showErrorMessage="1" errorTitle="Ошибка" error="Допускается ввод только неотрицательных целых чисел!" sqref="AI73">
      <formula1>0</formula1>
      <formula2>9.99999999999999E+23</formula2>
    </dataValidation>
    <dataValidation type="whole" allowBlank="1" showErrorMessage="1" errorTitle="Ошибка" error="Допускается ввод только неотрицательных целых чисел!" sqref="AF73">
      <formula1>0</formula1>
      <formula2>9.99999999999999E+23</formula2>
    </dataValidation>
    <dataValidation type="whole" allowBlank="1" showErrorMessage="1" errorTitle="Ошибка" error="Допускается ввод только неотрицательных целых чисел!" sqref="AI72">
      <formula1>0</formula1>
      <formula2>9.99999999999999E+23</formula2>
    </dataValidation>
    <dataValidation type="whole" allowBlank="1" showErrorMessage="1" errorTitle="Ошибка" error="Допускается ввод только неотрицательных целых чисел!" sqref="AF72">
      <formula1>0</formula1>
      <formula2>9.99999999999999E+23</formula2>
    </dataValidation>
    <dataValidation type="textLength" operator="lessThanOrEqual" allowBlank="1" showInputMessage="1" showErrorMessage="1" errorTitle="Ошибка" error="Допускается ввод не более 900 символов!" sqref="K7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2">
      <formula1>"a"</formula1>
    </dataValidation>
    <dataValidation type="whole" allowBlank="1" showErrorMessage="1" errorTitle="Ошибка" error="Допускается ввод только неотрицательных целых чисел!" sqref="AI70">
      <formula1>0</formula1>
      <formula2>9.99999999999999E+23</formula2>
    </dataValidation>
    <dataValidation type="whole" allowBlank="1" showErrorMessage="1" errorTitle="Ошибка" error="Допускается ввод только неотрицательных целых чисел!" sqref="AF70">
      <formula1>0</formula1>
      <formula2>9.99999999999999E+23</formula2>
    </dataValidation>
    <dataValidation type="decimal" allowBlank="1" showErrorMessage="1" errorTitle="Ошибка" error="Допускается ввод только неотрицательных чисел!" sqref="AE70">
      <formula1>0</formula1>
      <formula2>9.99999999999999E+23</formula2>
    </dataValidation>
    <dataValidation type="decimal" allowBlank="1" showErrorMessage="1" errorTitle="Ошибка" error="Допускается ввод только неотрицательных чисел!" sqref="AC70">
      <formula1>0</formula1>
      <formula2>9.99999999999999E+23</formula2>
    </dataValidation>
    <dataValidation type="textLength" operator="lessThanOrEqual" allowBlank="1" showInputMessage="1" showErrorMessage="1" errorTitle="Ошибка" error="Допускается ввод не более 900 символов!" sqref="K7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0">
      <formula1>"a"</formula1>
    </dataValidation>
    <dataValidation type="whole" allowBlank="1" showErrorMessage="1" errorTitle="Ошибка" error="Допускается ввод только неотрицательных целых чисел!" sqref="AI69">
      <formula1>0</formula1>
      <formula2>9.99999999999999E+23</formula2>
    </dataValidation>
    <dataValidation type="whole" allowBlank="1" showErrorMessage="1" errorTitle="Ошибка" error="Допускается ввод только неотрицательных целых чисел!" sqref="AF69">
      <formula1>0</formula1>
      <formula2>9.99999999999999E+23</formula2>
    </dataValidation>
    <dataValidation type="textLength" operator="lessThanOrEqual" allowBlank="1" showInputMessage="1" showErrorMessage="1" errorTitle="Ошибка" error="Допускается ввод не более 900 символов!" sqref="K6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9">
      <formula1>"a"</formula1>
    </dataValidation>
    <dataValidation type="whole" allowBlank="1" showErrorMessage="1" errorTitle="Ошибка" error="Допускается ввод только неотрицательных целых чисел!" sqref="AI68">
      <formula1>0</formula1>
      <formula2>9.99999999999999E+23</formula2>
    </dataValidation>
    <dataValidation type="whole" allowBlank="1" showErrorMessage="1" errorTitle="Ошибка" error="Допускается ввод только неотрицательных целых чисел!" sqref="AF68">
      <formula1>0</formula1>
      <formula2>9.99999999999999E+23</formula2>
    </dataValidation>
    <dataValidation type="textLength" operator="lessThanOrEqual" allowBlank="1" showInputMessage="1" showErrorMessage="1" errorTitle="Ошибка" error="Допускается ввод не более 900 символов!" sqref="M68">
      <formula1>900</formula1>
    </dataValidation>
    <dataValidation type="textLength" operator="lessThanOrEqual" allowBlank="1" showInputMessage="1" showErrorMessage="1" errorTitle="Ошибка" error="Допускается ввод не более 900 символов!" sqref="K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8">
      <formula1>"a"</formula1>
    </dataValidation>
    <dataValidation type="whole" allowBlank="1" showErrorMessage="1" errorTitle="Ошибка" error="Допускается ввод только неотрицательных целых чисел!" sqref="AI61">
      <formula1>0</formula1>
      <formula2>9.99999999999999E+23</formula2>
    </dataValidation>
    <dataValidation type="whole" allowBlank="1" showErrorMessage="1" errorTitle="Ошибка" error="Допускается ввод только неотрицательных целых чисел!" sqref="AF61">
      <formula1>0</formula1>
      <formula2>9.99999999999999E+23</formula2>
    </dataValidation>
    <dataValidation type="whole" allowBlank="1" showErrorMessage="1" errorTitle="Ошибка" error="Допускается ввод только неотрицательных целых чисел!" sqref="AI60">
      <formula1>0</formula1>
      <formula2>9.99999999999999E+23</formula2>
    </dataValidation>
    <dataValidation type="whole" allowBlank="1" showErrorMessage="1" errorTitle="Ошибка" error="Допускается ввод только неотрицательных целых чисел!" sqref="AF60">
      <formula1>0</formula1>
      <formula2>9.99999999999999E+23</formula2>
    </dataValidation>
    <dataValidation type="textLength" operator="lessThanOrEqual" allowBlank="1" showInputMessage="1" showErrorMessage="1" errorTitle="Ошибка" error="Допускается ввод не более 900 символов!" sqref="K6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0">
      <formula1>"a"</formula1>
    </dataValidation>
    <dataValidation type="whole" allowBlank="1" showErrorMessage="1" errorTitle="Ошибка" error="Допускается ввод только неотрицательных целых чисел!" sqref="AI58">
      <formula1>0</formula1>
      <formula2>9.99999999999999E+23</formula2>
    </dataValidation>
    <dataValidation type="whole" allowBlank="1" showErrorMessage="1" errorTitle="Ошибка" error="Допускается ввод только неотрицательных целых чисел!" sqref="AF58">
      <formula1>0</formula1>
      <formula2>9.99999999999999E+23</formula2>
    </dataValidation>
    <dataValidation type="decimal" allowBlank="1" showErrorMessage="1" errorTitle="Ошибка" error="Допускается ввод только неотрицательных чисел!" sqref="AE58">
      <formula1>0</formula1>
      <formula2>9.99999999999999E+23</formula2>
    </dataValidation>
    <dataValidation type="decimal" allowBlank="1" showErrorMessage="1" errorTitle="Ошибка" error="Допускается ввод только неотрицательных чисел!" sqref="AC58">
      <formula1>0</formula1>
      <formula2>9.99999999999999E+23</formula2>
    </dataValidation>
    <dataValidation type="textLength" operator="lessThanOrEqual" allowBlank="1" showInputMessage="1" showErrorMessage="1" errorTitle="Ошибка" error="Допускается ввод не более 900 символов!" sqref="K5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8">
      <formula1>"a"</formula1>
    </dataValidation>
    <dataValidation type="whole" allowBlank="1" showErrorMessage="1" errorTitle="Ошибка" error="Допускается ввод только неотрицательных целых чисел!" sqref="AI57">
      <formula1>0</formula1>
      <formula2>9.99999999999999E+23</formula2>
    </dataValidation>
    <dataValidation type="whole" allowBlank="1" showErrorMessage="1" errorTitle="Ошибка" error="Допускается ввод только неотрицательных целых чисел!" sqref="AF57">
      <formula1>0</formula1>
      <formula2>9.99999999999999E+23</formula2>
    </dataValidation>
    <dataValidation type="textLength" operator="lessThanOrEqual" allowBlank="1" showInputMessage="1" showErrorMessage="1" errorTitle="Ошибка" error="Допускается ввод не более 900 символов!" sqref="K5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7">
      <formula1>"a"</formula1>
    </dataValidation>
    <dataValidation type="whole" allowBlank="1" showErrorMessage="1" errorTitle="Ошибка" error="Допускается ввод только неотрицательных целых чисел!" sqref="AI56">
      <formula1>0</formula1>
      <formula2>9.99999999999999E+23</formula2>
    </dataValidation>
    <dataValidation type="whole" allowBlank="1" showErrorMessage="1" errorTitle="Ошибка" error="Допускается ввод только неотрицательных целых чисел!" sqref="AF56">
      <formula1>0</formula1>
      <formula2>9.99999999999999E+23</formula2>
    </dataValidation>
    <dataValidation type="textLength" operator="lessThanOrEqual" allowBlank="1" showInputMessage="1" showErrorMessage="1" errorTitle="Ошибка" error="Допускается ввод не более 900 символов!" sqref="M56">
      <formula1>900</formula1>
    </dataValidation>
    <dataValidation type="textLength" operator="lessThanOrEqual" allowBlank="1" showInputMessage="1" showErrorMessage="1" errorTitle="Ошибка" error="Допускается ввод не более 900 символов!" sqref="K5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6">
      <formula1>"a"</formula1>
    </dataValidation>
    <dataValidation type="whole" allowBlank="1" showErrorMessage="1" errorTitle="Ошибка" error="Допускается ввод только неотрицательных целых чисел!" sqref="AI49">
      <formula1>0</formula1>
      <formula2>9.99999999999999E+23</formula2>
    </dataValidation>
    <dataValidation type="whole" allowBlank="1" showErrorMessage="1" errorTitle="Ошибка" error="Допускается ввод только неотрицательных целых чисел!" sqref="AF49">
      <formula1>0</formula1>
      <formula2>9.99999999999999E+23</formula2>
    </dataValidation>
    <dataValidation type="whole" allowBlank="1" showErrorMessage="1" errorTitle="Ошибка" error="Допускается ввод только неотрицательных целых чисел!" sqref="AI48">
      <formula1>0</formula1>
      <formula2>9.99999999999999E+23</formula2>
    </dataValidation>
    <dataValidation type="whole" allowBlank="1" showErrorMessage="1" errorTitle="Ошибка" error="Допускается ввод только неотрицательных целых чисел!" sqref="AF48">
      <formula1>0</formula1>
      <formula2>9.99999999999999E+23</formula2>
    </dataValidation>
    <dataValidation type="textLength" operator="lessThanOrEqual" allowBlank="1" showInputMessage="1" showErrorMessage="1" errorTitle="Ошибка" error="Допускается ввод не более 900 символов!" sqref="K4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8">
      <formula1>"a"</formula1>
    </dataValidation>
    <dataValidation type="whole" allowBlank="1" showErrorMessage="1" errorTitle="Ошибка" error="Допускается ввод только неотрицательных целых чисел!" sqref="AI46">
      <formula1>0</formula1>
      <formula2>9.99999999999999E+23</formula2>
    </dataValidation>
    <dataValidation type="whole" allowBlank="1" showErrorMessage="1" errorTitle="Ошибка" error="Допускается ввод только неотрицательных целых чисел!" sqref="AF46">
      <formula1>0</formula1>
      <formula2>9.99999999999999E+23</formula2>
    </dataValidation>
    <dataValidation type="decimal" allowBlank="1" showErrorMessage="1" errorTitle="Ошибка" error="Допускается ввод только неотрицательных чисел!" sqref="AE46">
      <formula1>0</formula1>
      <formula2>9.99999999999999E+23</formula2>
    </dataValidation>
    <dataValidation type="decimal" allowBlank="1" showErrorMessage="1" errorTitle="Ошибка" error="Допускается ввод только неотрицательных чисел!" sqref="AC46">
      <formula1>0</formula1>
      <formula2>9.99999999999999E+23</formula2>
    </dataValidation>
    <dataValidation type="textLength" operator="lessThanOrEqual" allowBlank="1" showInputMessage="1" showErrorMessage="1" errorTitle="Ошибка" error="Допускается ввод не более 900 символов!" sqref="K4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6">
      <formula1>"a"</formula1>
    </dataValidation>
    <dataValidation type="whole" allowBlank="1" showErrorMessage="1" errorTitle="Ошибка" error="Допускается ввод только неотрицательных целых чисел!" sqref="AI45">
      <formula1>0</formula1>
      <formula2>9.99999999999999E+23</formula2>
    </dataValidation>
    <dataValidation type="whole" allowBlank="1" showErrorMessage="1" errorTitle="Ошибка" error="Допускается ввод только неотрицательных целых чисел!" sqref="AF45">
      <formula1>0</formula1>
      <formula2>9.99999999999999E+23</formula2>
    </dataValidation>
    <dataValidation type="textLength" operator="lessThanOrEqual" allowBlank="1" showInputMessage="1" showErrorMessage="1" errorTitle="Ошибка" error="Допускается ввод не более 900 символов!" sqref="K4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5">
      <formula1>"a"</formula1>
    </dataValidation>
    <dataValidation type="whole" allowBlank="1" showErrorMessage="1" errorTitle="Ошибка" error="Допускается ввод только неотрицательных целых чисел!" sqref="AI44">
      <formula1>0</formula1>
      <formula2>9.99999999999999E+23</formula2>
    </dataValidation>
    <dataValidation type="whole" allowBlank="1" showErrorMessage="1" errorTitle="Ошибка" error="Допускается ввод только неотрицательных целых чисел!" sqref="AF44">
      <formula1>0</formula1>
      <formula2>9.99999999999999E+23</formula2>
    </dataValidation>
    <dataValidation type="textLength" operator="lessThanOrEqual" allowBlank="1" showInputMessage="1" showErrorMessage="1" errorTitle="Ошибка" error="Допускается ввод не более 900 символов!" sqref="M44">
      <formula1>900</formula1>
    </dataValidation>
    <dataValidation type="textLength" operator="lessThanOrEqual" allowBlank="1" showInputMessage="1" showErrorMessage="1" errorTitle="Ошибка" error="Допускается ввод не более 900 символов!" sqref="K4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4">
      <formula1>"a"</formula1>
    </dataValidation>
    <dataValidation type="whole" allowBlank="1" showErrorMessage="1" errorTitle="Ошибка" error="Допускается ввод только неотрицательных целых чисел!" sqref="AI37">
      <formula1>0</formula1>
      <formula2>9.99999999999999E+23</formula2>
    </dataValidation>
    <dataValidation type="whole" allowBlank="1" showErrorMessage="1" errorTitle="Ошибка" error="Допускается ввод только неотрицательных целых чисел!" sqref="AF37">
      <formula1>0</formula1>
      <formula2>9.99999999999999E+23</formula2>
    </dataValidation>
    <dataValidation type="whole" allowBlank="1" showErrorMessage="1" errorTitle="Ошибка" error="Допускается ввод только неотрицательных целых чисел!" sqref="AI36">
      <formula1>0</formula1>
      <formula2>9.99999999999999E+23</formula2>
    </dataValidation>
    <dataValidation type="whole" allowBlank="1" showErrorMessage="1" errorTitle="Ошибка" error="Допускается ввод только неотрицательных целых чисел!" sqref="AF36">
      <formula1>0</formula1>
      <formula2>9.99999999999999E+23</formula2>
    </dataValidation>
    <dataValidation type="textLength" operator="lessThanOrEqual" allowBlank="1" showInputMessage="1" showErrorMessage="1" errorTitle="Ошибка" error="Допускается ввод не более 900 символов!" sqref="K3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6">
      <formula1>"a"</formula1>
    </dataValidation>
    <dataValidation type="whole" allowBlank="1" showErrorMessage="1" errorTitle="Ошибка" error="Допускается ввод только неотрицательных целых чисел!" sqref="AI34">
      <formula1>0</formula1>
      <formula2>9.99999999999999E+23</formula2>
    </dataValidation>
    <dataValidation type="whole" allowBlank="1" showErrorMessage="1" errorTitle="Ошибка" error="Допускается ввод только неотрицательных целых чисел!" sqref="AF34">
      <formula1>0</formula1>
      <formula2>9.99999999999999E+23</formula2>
    </dataValidation>
    <dataValidation type="decimal" allowBlank="1" showErrorMessage="1" errorTitle="Ошибка" error="Допускается ввод только неотрицательных чисел!" sqref="AE34">
      <formula1>0</formula1>
      <formula2>9.99999999999999E+23</formula2>
    </dataValidation>
    <dataValidation type="decimal" allowBlank="1" showErrorMessage="1" errorTitle="Ошибка" error="Допускается ввод только неотрицательных чисел!" sqref="AC34">
      <formula1>0</formula1>
      <formula2>9.99999999999999E+23</formula2>
    </dataValidation>
    <dataValidation type="textLength" operator="lessThanOrEqual" allowBlank="1" showInputMessage="1" showErrorMessage="1" errorTitle="Ошибка" error="Допускается ввод не более 900 символов!" sqref="K3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4">
      <formula1>"a"</formula1>
    </dataValidation>
    <dataValidation type="whole" allowBlank="1" showErrorMessage="1" errorTitle="Ошибка" error="Допускается ввод только неотрицательных целых чисел!" sqref="AI33">
      <formula1>0</formula1>
      <formula2>9.99999999999999E+23</formula2>
    </dataValidation>
    <dataValidation type="whole" allowBlank="1" showErrorMessage="1" errorTitle="Ошибка" error="Допускается ввод только неотрицательных целых чисел!" sqref="AF33">
      <formula1>0</formula1>
      <formula2>9.99999999999999E+23</formula2>
    </dataValidation>
    <dataValidation type="textLength" operator="lessThanOrEqual" allowBlank="1" showInputMessage="1" showErrorMessage="1" errorTitle="Ошибка" error="Допускается ввод не более 900 символов!" sqref="K3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3">
      <formula1>"a"</formula1>
    </dataValidation>
    <dataValidation type="whole" allowBlank="1" showErrorMessage="1" errorTitle="Ошибка" error="Допускается ввод только неотрицательных целых чисел!" sqref="AI32">
      <formula1>0</formula1>
      <formula2>9.99999999999999E+23</formula2>
    </dataValidation>
    <dataValidation type="whole" allowBlank="1" showErrorMessage="1" errorTitle="Ошибка" error="Допускается ввод только неотрицательных целых чисел!" sqref="AF32">
      <formula1>0</formula1>
      <formula2>9.99999999999999E+23</formula2>
    </dataValidation>
    <dataValidation type="textLength" operator="lessThanOrEqual" allowBlank="1" showInputMessage="1" showErrorMessage="1" errorTitle="Ошибка" error="Допускается ввод не более 900 символов!" sqref="M32">
      <formula1>900</formula1>
    </dataValidation>
    <dataValidation type="textLength" operator="lessThanOrEqual" allowBlank="1" showInputMessage="1" showErrorMessage="1" errorTitle="Ошибка" error="Допускается ввод не более 900 символов!" sqref="K3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2">
      <formula1>"a"</formula1>
    </dataValidation>
    <dataValidation type="whole" allowBlank="1" showErrorMessage="1" errorTitle="Ошибка" error="Допускается ввод только неотрицательных целых чисел!" sqref="AI25">
      <formula1>0</formula1>
      <formula2>9.99999999999999E+23</formula2>
    </dataValidation>
    <dataValidation type="whole" allowBlank="1" showErrorMessage="1" errorTitle="Ошибка" error="Допускается ввод только неотрицательных целых чисел!" sqref="AF25">
      <formula1>0</formula1>
      <formula2>9.99999999999999E+23</formula2>
    </dataValidation>
    <dataValidation type="whole" allowBlank="1" showErrorMessage="1" errorTitle="Ошибка" error="Допускается ввод только неотрицательных целых чисел!" sqref="AI24">
      <formula1>0</formula1>
      <formula2>9.99999999999999E+23</formula2>
    </dataValidation>
    <dataValidation type="whole" allowBlank="1" showErrorMessage="1" errorTitle="Ошибка" error="Допускается ввод только неотрицательных целых чисел!" sqref="AF24">
      <formula1>0</formula1>
      <formula2>9.99999999999999E+23</formula2>
    </dataValidation>
    <dataValidation type="textLength" operator="lessThanOrEqual" allowBlank="1" showInputMessage="1" showErrorMessage="1" errorTitle="Ошибка" error="Допускается ввод не более 900 символов!" sqref="K2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4">
      <formula1>"a"</formula1>
    </dataValidation>
    <dataValidation type="whole" allowBlank="1" showErrorMessage="1" errorTitle="Ошибка" error="Допускается ввод только неотрицательных целых чисел!" sqref="AI22">
      <formula1>0</formula1>
      <formula2>9.99999999999999E+23</formula2>
    </dataValidation>
    <dataValidation type="whole" allowBlank="1" showErrorMessage="1" errorTitle="Ошибка" error="Допускается ввод только неотрицательных целых чисел!" sqref="AF22">
      <formula1>0</formula1>
      <formula2>9.99999999999999E+23</formula2>
    </dataValidation>
    <dataValidation type="decimal" allowBlank="1" showErrorMessage="1" errorTitle="Ошибка" error="Допускается ввод только неотрицательных чисел!" sqref="AE22">
      <formula1>0</formula1>
      <formula2>9.99999999999999E+23</formula2>
    </dataValidation>
    <dataValidation type="decimal" allowBlank="1" showErrorMessage="1" errorTitle="Ошибка" error="Допускается ввод только неотрицательных чисел!" sqref="AC22">
      <formula1>0</formula1>
      <formula2>9.99999999999999E+23</formula2>
    </dataValidation>
    <dataValidation type="textLength" operator="lessThanOrEqual" allowBlank="1" showInputMessage="1" showErrorMessage="1" errorTitle="Ошибка" error="Допускается ввод не более 900 символов!" sqref="K2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
      <formula1>"a"</formula1>
    </dataValidation>
    <dataValidation type="whole" allowBlank="1" showErrorMessage="1" errorTitle="Ошибка" error="Допускается ввод только неотрицательных целых чисел!" sqref="AI21">
      <formula1>0</formula1>
      <formula2>9.99999999999999E+23</formula2>
    </dataValidation>
    <dataValidation type="whole" allowBlank="1" showErrorMessage="1" errorTitle="Ошибка" error="Допускается ввод только неотрицательных целых чисел!" sqref="AF21">
      <formula1>0</formula1>
      <formula2>9.99999999999999E+23</formula2>
    </dataValidation>
    <dataValidation type="textLength" operator="lessThanOrEqual" allowBlank="1" showInputMessage="1" showErrorMessage="1" errorTitle="Ошибка" error="Допускается ввод не более 900 символов!" sqref="K2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
      <formula1>"a"</formula1>
    </dataValidation>
    <dataValidation type="whole" allowBlank="1" showErrorMessage="1" errorTitle="Ошибка" error="Допускается ввод только неотрицательных целых чисел!" sqref="AI20">
      <formula1>0</formula1>
      <formula2>9.99999999999999E+23</formula2>
    </dataValidation>
    <dataValidation type="whole" allowBlank="1" showErrorMessage="1" errorTitle="Ошибка" error="Допускается ввод только неотрицательных целых чисел!" sqref="AF20">
      <formula1>0</formula1>
      <formula2>9.99999999999999E+23</formula2>
    </dataValidation>
    <dataValidation type="textLength" operator="lessThanOrEqual" allowBlank="1" showInputMessage="1" showErrorMessage="1" errorTitle="Ошибка" error="Допускается ввод не более 900 символов!" sqref="M20">
      <formula1>900</formula1>
    </dataValidation>
    <dataValidation type="textLength" operator="lessThanOrEqual" allowBlank="1" showInputMessage="1" showErrorMessage="1" errorTitle="Ошибка" error="Допускается ввод не более 900 символов!" sqref="K2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
      <formula1>"a"</formula1>
    </dataValidation>
    <dataValidation type="textLength" operator="lessThanOrEqual" allowBlank="1" showInputMessage="1" showErrorMessage="1" errorTitle="Ошибка" error="Допускается ввод не более 900 символов!" sqref="K15">
      <formula1>900</formula1>
    </dataValidation>
    <dataValidation type="textLength" operator="lessThanOrEqual" allowBlank="1" showInputMessage="1" showErrorMessage="1" errorTitle="Ошибка" error="Допускается ввод не более 900 символов!" sqref="M15">
      <formula1>900</formula1>
    </dataValidation>
    <dataValidation type="whole" allowBlank="1" showErrorMessage="1" errorTitle="Ошибка" error="Допускается ввод только неотрицательных целых чисел!" sqref="AF15">
      <formula1>0</formula1>
      <formula2>9.99999999999999E+23</formula2>
    </dataValidation>
    <dataValidation type="whole" allowBlank="1" showErrorMessage="1" errorTitle="Ошибка" error="Допускается ввод только неотрицательных целых чисел!" sqref="AI1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
      <formula1>"a"</formula1>
    </dataValidation>
    <dataValidation type="textLength" operator="lessThanOrEqual" allowBlank="1" showInputMessage="1" showErrorMessage="1" errorTitle="Ошибка" error="Допускается ввод не более 900 символов!" sqref="K16">
      <formula1>900</formula1>
    </dataValidation>
    <dataValidation type="whole" allowBlank="1" showErrorMessage="1" errorTitle="Ошибка" error="Допускается ввод только неотрицательных целых чисел!" sqref="AF16">
      <formula1>0</formula1>
      <formula2>9.99999999999999E+23</formula2>
    </dataValidation>
    <dataValidation type="whole" allowBlank="1" showErrorMessage="1" errorTitle="Ошибка" error="Допускается ввод только неотрицательных целых чисел!" sqref="AI1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
      <formula1>"a"</formula1>
    </dataValidation>
    <dataValidation type="textLength" operator="lessThanOrEqual" allowBlank="1" showInputMessage="1" showErrorMessage="1" errorTitle="Ошибка" error="Допускается ввод не более 900 символов!" sqref="K17">
      <formula1>900</formula1>
    </dataValidation>
    <dataValidation type="decimal" allowBlank="1" showErrorMessage="1" errorTitle="Ошибка" error="Допускается ввод только неотрицательных чисел!" sqref="AC17">
      <formula1>0</formula1>
      <formula2>9.99999999999999E+23</formula2>
    </dataValidation>
    <dataValidation type="decimal" allowBlank="1" showErrorMessage="1" errorTitle="Ошибка" error="Допускается ввод только неотрицательных чисел!" sqref="AE17">
      <formula1>0</formula1>
      <formula2>9.99999999999999E+23</formula2>
    </dataValidation>
    <dataValidation type="whole" allowBlank="1" showErrorMessage="1" errorTitle="Ошибка" error="Допускается ввод только неотрицательных целых чисел!" sqref="AF17">
      <formula1>0</formula1>
      <formula2>9.99999999999999E+23</formula2>
    </dataValidation>
    <dataValidation type="whole" allowBlank="1" showErrorMessage="1" errorTitle="Ошибка" error="Допускается ввод только неотрицательных целых чисел!" sqref="AI1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
      <formula1>"a"</formula1>
    </dataValidation>
    <dataValidation type="textLength" operator="lessThanOrEqual" allowBlank="1" showInputMessage="1" showErrorMessage="1" errorTitle="Ошибка" error="Допускается ввод не более 900 символов!" sqref="K18">
      <formula1>900</formula1>
    </dataValidation>
    <dataValidation type="whole" allowBlank="1" showErrorMessage="1" errorTitle="Ошибка" error="Допускается ввод только неотрицательных целых чисел!" sqref="AF18">
      <formula1>0</formula1>
      <formula2>9.99999999999999E+23</formula2>
    </dataValidation>
    <dataValidation type="whole" allowBlank="1" showErrorMessage="1" errorTitle="Ошибка" error="Допускается ввод только неотрицательных целых чисел!" sqref="AI18">
      <formula1>0</formula1>
      <formula2>9.99999999999999E+23</formula2>
    </dataValidation>
    <dataValidation type="whole" allowBlank="1" showErrorMessage="1" errorTitle="Ошибка" error="Допускается ввод только неотрицательных целых чисел!" sqref="AF19">
      <formula1>0</formula1>
      <formula2>9.99999999999999E+23</formula2>
    </dataValidation>
    <dataValidation type="whole" allowBlank="1" showErrorMessage="1" errorTitle="Ошибка" error="Допускается ввод только неотрицательных целых чисел!" sqref="AI1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
      <formula1>"a"</formula1>
    </dataValidation>
    <dataValidation type="textLength" operator="lessThanOrEqual" allowBlank="1" showInputMessage="1" showErrorMessage="1" errorTitle="Ошибка" error="Допускается ввод не более 900 символов!" sqref="K27">
      <formula1>900</formula1>
    </dataValidation>
    <dataValidation type="textLength" operator="lessThanOrEqual" allowBlank="1" showInputMessage="1" showErrorMessage="1" errorTitle="Ошибка" error="Допускается ввод не более 900 символов!" sqref="M27">
      <formula1>900</formula1>
    </dataValidation>
    <dataValidation type="whole" allowBlank="1" showErrorMessage="1" errorTitle="Ошибка" error="Допускается ввод только неотрицательных целых чисел!" sqref="AF27">
      <formula1>0</formula1>
      <formula2>9.99999999999999E+23</formula2>
    </dataValidation>
    <dataValidation type="whole" allowBlank="1" showErrorMessage="1" errorTitle="Ошибка" error="Допускается ввод только неотрицательных целых чисел!" sqref="AI2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8">
      <formula1>"a"</formula1>
    </dataValidation>
    <dataValidation type="textLength" operator="lessThanOrEqual" allowBlank="1" showInputMessage="1" showErrorMessage="1" errorTitle="Ошибка" error="Допускается ввод не более 900 символов!" sqref="K28">
      <formula1>900</formula1>
    </dataValidation>
    <dataValidation type="whole" allowBlank="1" showErrorMessage="1" errorTitle="Ошибка" error="Допускается ввод только неотрицательных целых чисел!" sqref="AF28">
      <formula1>0</formula1>
      <formula2>9.99999999999999E+23</formula2>
    </dataValidation>
    <dataValidation type="whole" allowBlank="1" showErrorMessage="1" errorTitle="Ошибка" error="Допускается ввод только неотрицательных целых чисел!" sqref="AI2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9">
      <formula1>"a"</formula1>
    </dataValidation>
    <dataValidation type="textLength" operator="lessThanOrEqual" allowBlank="1" showInputMessage="1" showErrorMessage="1" errorTitle="Ошибка" error="Допускается ввод не более 900 символов!" sqref="K29">
      <formula1>900</formula1>
    </dataValidation>
    <dataValidation type="decimal" allowBlank="1" showErrorMessage="1" errorTitle="Ошибка" error="Допускается ввод только неотрицательных чисел!" sqref="AC29">
      <formula1>0</formula1>
      <formula2>9.99999999999999E+23</formula2>
    </dataValidation>
    <dataValidation type="decimal" allowBlank="1" showErrorMessage="1" errorTitle="Ошибка" error="Допускается ввод только неотрицательных чисел!" sqref="AE29">
      <formula1>0</formula1>
      <formula2>9.99999999999999E+23</formula2>
    </dataValidation>
    <dataValidation type="whole" allowBlank="1" showErrorMessage="1" errorTitle="Ошибка" error="Допускается ввод только неотрицательных целых чисел!" sqref="AF29">
      <formula1>0</formula1>
      <formula2>9.99999999999999E+23</formula2>
    </dataValidation>
    <dataValidation type="whole" allowBlank="1" showErrorMessage="1" errorTitle="Ошибка" error="Допускается ввод только неотрицательных целых чисел!" sqref="AI2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0">
      <formula1>"a"</formula1>
    </dataValidation>
    <dataValidation type="textLength" operator="lessThanOrEqual" allowBlank="1" showInputMessage="1" showErrorMessage="1" errorTitle="Ошибка" error="Допускается ввод не более 900 символов!" sqref="K30">
      <formula1>900</formula1>
    </dataValidation>
    <dataValidation type="whole" allowBlank="1" showErrorMessage="1" errorTitle="Ошибка" error="Допускается ввод только неотрицательных целых чисел!" sqref="AF30">
      <formula1>0</formula1>
      <formula2>9.99999999999999E+23</formula2>
    </dataValidation>
    <dataValidation type="whole" allowBlank="1" showErrorMessage="1" errorTitle="Ошибка" error="Допускается ввод только неотрицательных целых чисел!" sqref="AI30">
      <formula1>0</formula1>
      <formula2>9.99999999999999E+23</formula2>
    </dataValidation>
    <dataValidation type="whole" allowBlank="1" showErrorMessage="1" errorTitle="Ошибка" error="Допускается ввод только неотрицательных целых чисел!" sqref="AF31">
      <formula1>0</formula1>
      <formula2>9.99999999999999E+23</formula2>
    </dataValidation>
    <dataValidation type="whole" allowBlank="1" showErrorMessage="1" errorTitle="Ошибка" error="Допускается ввод только неотрицательных целых чисел!" sqref="AI3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9">
      <formula1>"a"</formula1>
    </dataValidation>
    <dataValidation type="textLength" operator="lessThanOrEqual" allowBlank="1" showInputMessage="1" showErrorMessage="1" errorTitle="Ошибка" error="Допускается ввод не более 900 символов!" sqref="K39">
      <formula1>900</formula1>
    </dataValidation>
    <dataValidation type="textLength" operator="lessThanOrEqual" allowBlank="1" showInputMessage="1" showErrorMessage="1" errorTitle="Ошибка" error="Допускается ввод не более 900 символов!" sqref="M39">
      <formula1>900</formula1>
    </dataValidation>
    <dataValidation type="whole" allowBlank="1" showErrorMessage="1" errorTitle="Ошибка" error="Допускается ввод только неотрицательных целых чисел!" sqref="AF39">
      <formula1>0</formula1>
      <formula2>9.99999999999999E+23</formula2>
    </dataValidation>
    <dataValidation type="whole" allowBlank="1" showErrorMessage="1" errorTitle="Ошибка" error="Допускается ввод только неотрицательных целых чисел!" sqref="AI3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0">
      <formula1>"a"</formula1>
    </dataValidation>
    <dataValidation type="textLength" operator="lessThanOrEqual" allowBlank="1" showInputMessage="1" showErrorMessage="1" errorTitle="Ошибка" error="Допускается ввод не более 900 символов!" sqref="K40">
      <formula1>900</formula1>
    </dataValidation>
    <dataValidation type="whole" allowBlank="1" showErrorMessage="1" errorTitle="Ошибка" error="Допускается ввод только неотрицательных целых чисел!" sqref="AF40">
      <formula1>0</formula1>
      <formula2>9.99999999999999E+23</formula2>
    </dataValidation>
    <dataValidation type="whole" allowBlank="1" showErrorMessage="1" errorTitle="Ошибка" error="Допускается ввод только неотрицательных целых чисел!" sqref="AI4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1">
      <formula1>"a"</formula1>
    </dataValidation>
    <dataValidation type="textLength" operator="lessThanOrEqual" allowBlank="1" showInputMessage="1" showErrorMessage="1" errorTitle="Ошибка" error="Допускается ввод не более 900 символов!" sqref="K41">
      <formula1>900</formula1>
    </dataValidation>
    <dataValidation type="decimal" allowBlank="1" showErrorMessage="1" errorTitle="Ошибка" error="Допускается ввод только неотрицательных чисел!" sqref="AC41">
      <formula1>0</formula1>
      <formula2>9.99999999999999E+23</formula2>
    </dataValidation>
    <dataValidation type="decimal" allowBlank="1" showErrorMessage="1" errorTitle="Ошибка" error="Допускается ввод только неотрицательных чисел!" sqref="AE41">
      <formula1>0</formula1>
      <formula2>9.99999999999999E+23</formula2>
    </dataValidation>
    <dataValidation type="whole" allowBlank="1" showErrorMessage="1" errorTitle="Ошибка" error="Допускается ввод только неотрицательных целых чисел!" sqref="AF41">
      <formula1>0</formula1>
      <formula2>9.99999999999999E+23</formula2>
    </dataValidation>
    <dataValidation type="whole" allowBlank="1" showErrorMessage="1" errorTitle="Ошибка" error="Допускается ввод только неотрицательных целых чисел!" sqref="AI4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2">
      <formula1>"a"</formula1>
    </dataValidation>
    <dataValidation type="textLength" operator="lessThanOrEqual" allowBlank="1" showInputMessage="1" showErrorMessage="1" errorTitle="Ошибка" error="Допускается ввод не более 900 символов!" sqref="K42">
      <formula1>900</formula1>
    </dataValidation>
    <dataValidation type="whole" allowBlank="1" showErrorMessage="1" errorTitle="Ошибка" error="Допускается ввод только неотрицательных целых чисел!" sqref="AF42">
      <formula1>0</formula1>
      <formula2>9.99999999999999E+23</formula2>
    </dataValidation>
    <dataValidation type="whole" allowBlank="1" showErrorMessage="1" errorTitle="Ошибка" error="Допускается ввод только неотрицательных целых чисел!" sqref="AI42">
      <formula1>0</formula1>
      <formula2>9.99999999999999E+23</formula2>
    </dataValidation>
    <dataValidation type="whole" allowBlank="1" showErrorMessage="1" errorTitle="Ошибка" error="Допускается ввод только неотрицательных целых чисел!" sqref="AF43">
      <formula1>0</formula1>
      <formula2>9.99999999999999E+23</formula2>
    </dataValidation>
    <dataValidation type="whole" allowBlank="1" showErrorMessage="1" errorTitle="Ошибка" error="Допускается ввод только неотрицательных целых чисел!" sqref="AI4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1">
      <formula1>"a"</formula1>
    </dataValidation>
    <dataValidation type="textLength" operator="lessThanOrEqual" allowBlank="1" showInputMessage="1" showErrorMessage="1" errorTitle="Ошибка" error="Допускается ввод не более 900 символов!" sqref="K51">
      <formula1>900</formula1>
    </dataValidation>
    <dataValidation type="textLength" operator="lessThanOrEqual" allowBlank="1" showInputMessage="1" showErrorMessage="1" errorTitle="Ошибка" error="Допускается ввод не более 900 символов!" sqref="M51">
      <formula1>900</formula1>
    </dataValidation>
    <dataValidation type="whole" allowBlank="1" showErrorMessage="1" errorTitle="Ошибка" error="Допускается ввод только неотрицательных целых чисел!" sqref="AF51">
      <formula1>0</formula1>
      <formula2>9.99999999999999E+23</formula2>
    </dataValidation>
    <dataValidation type="whole" allowBlank="1" showErrorMessage="1" errorTitle="Ошибка" error="Допускается ввод только неотрицательных целых чисел!" sqref="AI5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2">
      <formula1>"a"</formula1>
    </dataValidation>
    <dataValidation type="textLength" operator="lessThanOrEqual" allowBlank="1" showInputMessage="1" showErrorMessage="1" errorTitle="Ошибка" error="Допускается ввод не более 900 символов!" sqref="K52">
      <formula1>900</formula1>
    </dataValidation>
    <dataValidation type="whole" allowBlank="1" showErrorMessage="1" errorTitle="Ошибка" error="Допускается ввод только неотрицательных целых чисел!" sqref="AF52">
      <formula1>0</formula1>
      <formula2>9.99999999999999E+23</formula2>
    </dataValidation>
    <dataValidation type="whole" allowBlank="1" showErrorMessage="1" errorTitle="Ошибка" error="Допускается ввод только неотрицательных целых чисел!" sqref="AI5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3">
      <formula1>"a"</formula1>
    </dataValidation>
    <dataValidation type="textLength" operator="lessThanOrEqual" allowBlank="1" showInputMessage="1" showErrorMessage="1" errorTitle="Ошибка" error="Допускается ввод не более 900 символов!" sqref="K53">
      <formula1>900</formula1>
    </dataValidation>
    <dataValidation type="decimal" allowBlank="1" showErrorMessage="1" errorTitle="Ошибка" error="Допускается ввод только неотрицательных чисел!" sqref="AC53">
      <formula1>0</formula1>
      <formula2>9.99999999999999E+23</formula2>
    </dataValidation>
    <dataValidation type="decimal" allowBlank="1" showErrorMessage="1" errorTitle="Ошибка" error="Допускается ввод только неотрицательных чисел!" sqref="AE53">
      <formula1>0</formula1>
      <formula2>9.99999999999999E+23</formula2>
    </dataValidation>
    <dataValidation type="whole" allowBlank="1" showErrorMessage="1" errorTitle="Ошибка" error="Допускается ввод только неотрицательных целых чисел!" sqref="AF53">
      <formula1>0</formula1>
      <formula2>9.99999999999999E+23</formula2>
    </dataValidation>
    <dataValidation type="whole" allowBlank="1" showErrorMessage="1" errorTitle="Ошибка" error="Допускается ввод только неотрицательных целых чисел!" sqref="AI5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4">
      <formula1>"a"</formula1>
    </dataValidation>
    <dataValidation type="textLength" operator="lessThanOrEqual" allowBlank="1" showInputMessage="1" showErrorMessage="1" errorTitle="Ошибка" error="Допускается ввод не более 900 символов!" sqref="K54">
      <formula1>900</formula1>
    </dataValidation>
    <dataValidation type="whole" allowBlank="1" showErrorMessage="1" errorTitle="Ошибка" error="Допускается ввод только неотрицательных целых чисел!" sqref="AF54">
      <formula1>0</formula1>
      <formula2>9.99999999999999E+23</formula2>
    </dataValidation>
    <dataValidation type="whole" allowBlank="1" showErrorMessage="1" errorTitle="Ошибка" error="Допускается ввод только неотрицательных целых чисел!" sqref="AI54">
      <formula1>0</formula1>
      <formula2>9.99999999999999E+23</formula2>
    </dataValidation>
    <dataValidation type="whole" allowBlank="1" showErrorMessage="1" errorTitle="Ошибка" error="Допускается ввод только неотрицательных целых чисел!" sqref="AF55">
      <formula1>0</formula1>
      <formula2>9.99999999999999E+23</formula2>
    </dataValidation>
    <dataValidation type="whole" allowBlank="1" showErrorMessage="1" errorTitle="Ошибка" error="Допускается ввод только неотрицательных целых чисел!" sqref="AI5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3">
      <formula1>"a"</formula1>
    </dataValidation>
    <dataValidation type="textLength" operator="lessThanOrEqual" allowBlank="1" showInputMessage="1" showErrorMessage="1" errorTitle="Ошибка" error="Допускается ввод не более 900 символов!" sqref="K63">
      <formula1>900</formula1>
    </dataValidation>
    <dataValidation type="textLength" operator="lessThanOrEqual" allowBlank="1" showInputMessage="1" showErrorMessage="1" errorTitle="Ошибка" error="Допускается ввод не более 900 символов!" sqref="M63">
      <formula1>900</formula1>
    </dataValidation>
    <dataValidation type="whole" allowBlank="1" showErrorMessage="1" errorTitle="Ошибка" error="Допускается ввод только неотрицательных целых чисел!" sqref="AF63">
      <formula1>0</formula1>
      <formula2>9.99999999999999E+23</formula2>
    </dataValidation>
    <dataValidation type="whole" allowBlank="1" showErrorMessage="1" errorTitle="Ошибка" error="Допускается ввод только неотрицательных целых чисел!" sqref="AI6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4">
      <formula1>"a"</formula1>
    </dataValidation>
    <dataValidation type="textLength" operator="lessThanOrEqual" allowBlank="1" showInputMessage="1" showErrorMessage="1" errorTitle="Ошибка" error="Допускается ввод не более 900 символов!" sqref="K64">
      <formula1>900</formula1>
    </dataValidation>
    <dataValidation type="whole" allowBlank="1" showErrorMessage="1" errorTitle="Ошибка" error="Допускается ввод только неотрицательных целых чисел!" sqref="AF64">
      <formula1>0</formula1>
      <formula2>9.99999999999999E+23</formula2>
    </dataValidation>
    <dataValidation type="whole" allowBlank="1" showErrorMessage="1" errorTitle="Ошибка" error="Допускается ввод только неотрицательных целых чисел!" sqref="AI6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5">
      <formula1>"a"</formula1>
    </dataValidation>
    <dataValidation type="textLength" operator="lessThanOrEqual" allowBlank="1" showInputMessage="1" showErrorMessage="1" errorTitle="Ошибка" error="Допускается ввод не более 900 символов!" sqref="K65">
      <formula1>900</formula1>
    </dataValidation>
    <dataValidation type="decimal" allowBlank="1" showErrorMessage="1" errorTitle="Ошибка" error="Допускается ввод только неотрицательных чисел!" sqref="AC65">
      <formula1>0</formula1>
      <formula2>9.99999999999999E+23</formula2>
    </dataValidation>
    <dataValidation type="decimal" allowBlank="1" showErrorMessage="1" errorTitle="Ошибка" error="Допускается ввод только неотрицательных чисел!" sqref="AE65">
      <formula1>0</formula1>
      <formula2>9.99999999999999E+23</formula2>
    </dataValidation>
    <dataValidation type="whole" allowBlank="1" showErrorMessage="1" errorTitle="Ошибка" error="Допускается ввод только неотрицательных целых чисел!" sqref="AF65">
      <formula1>0</formula1>
      <formula2>9.99999999999999E+23</formula2>
    </dataValidation>
    <dataValidation type="whole" allowBlank="1" showErrorMessage="1" errorTitle="Ошибка" error="Допускается ввод только неотрицательных целых чисел!" sqref="AI6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6">
      <formula1>"a"</formula1>
    </dataValidation>
    <dataValidation type="textLength" operator="lessThanOrEqual" allowBlank="1" showInputMessage="1" showErrorMessage="1" errorTitle="Ошибка" error="Допускается ввод не более 900 символов!" sqref="K66">
      <formula1>900</formula1>
    </dataValidation>
    <dataValidation type="whole" allowBlank="1" showErrorMessage="1" errorTitle="Ошибка" error="Допускается ввод только неотрицательных целых чисел!" sqref="AF66">
      <formula1>0</formula1>
      <formula2>9.99999999999999E+23</formula2>
    </dataValidation>
    <dataValidation type="whole" allowBlank="1" showErrorMessage="1" errorTitle="Ошибка" error="Допускается ввод только неотрицательных целых чисел!" sqref="AI66">
      <formula1>0</formula1>
      <formula2>9.99999999999999E+23</formula2>
    </dataValidation>
    <dataValidation type="whole" allowBlank="1" showErrorMessage="1" errorTitle="Ошибка" error="Допускается ввод только неотрицательных целых чисел!" sqref="AF67">
      <formula1>0</formula1>
      <formula2>9.99999999999999E+23</formula2>
    </dataValidation>
    <dataValidation type="whole" allowBlank="1" showErrorMessage="1" errorTitle="Ошибка" error="Допускается ввод только неотрицательных целых чисел!" sqref="AI6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C58"/>
  <sheetViews>
    <sheetView showGridLines="0" topLeftCell="Q8" zoomScale="85" workbookViewId="0">
      <selection activeCell="K8" sqref="K8"/>
    </sheetView>
  </sheetViews>
  <sheetFormatPr defaultColWidth="9.140625" defaultRowHeight="10.5" customHeight="1"/>
  <cols>
    <col min="1" max="3" width="4.140625" style="1821" hidden="1" customWidth="1"/>
    <col min="4" max="4" width="4.140625" style="1759" hidden="1" customWidth="1"/>
    <col min="5" max="5" width="3.7109375" style="1846" customWidth="1"/>
    <col min="6" max="6" width="6.28515625" style="1846" customWidth="1"/>
    <col min="7" max="7" width="60.140625" style="1846" customWidth="1"/>
    <col min="8" max="9" width="21.7109375" style="1846" hidden="1" customWidth="1"/>
    <col min="10" max="10" width="0.140625" style="1846" customWidth="1"/>
    <col min="11" max="16" width="21.7109375" style="1846" hidden="1" customWidth="1"/>
    <col min="17" max="17" width="0.140625" style="1846" customWidth="1"/>
    <col min="18" max="18" width="1.7109375" style="1846" customWidth="1"/>
    <col min="19" max="29" width="9.140625" style="1846"/>
  </cols>
  <sheetData>
    <row r="1" spans="1:29" s="1759" customFormat="1" ht="10.5" hidden="1" customHeight="1">
      <c r="A1" s="1042"/>
      <c r="B1" s="1042"/>
      <c r="C1" s="1042"/>
      <c r="E1" s="464"/>
    </row>
    <row r="2" spans="1:29" ht="10.5" hidden="1" customHeight="1"/>
    <row r="3" spans="1:29" s="1741" customFormat="1" ht="10.5" hidden="1" customHeight="1">
      <c r="A3" s="1042"/>
      <c r="B3" s="1042"/>
      <c r="C3" s="1042"/>
      <c r="D3" s="1036"/>
      <c r="E3" s="288"/>
    </row>
    <row r="4" spans="1:29" ht="3" customHeight="1"/>
    <row r="5" spans="1:29" ht="30" customHeight="1">
      <c r="F5" s="2313" t="s">
        <v>2020</v>
      </c>
      <c r="G5" s="2313"/>
      <c r="H5" s="2313"/>
      <c r="I5" s="2313"/>
      <c r="J5" s="2313"/>
      <c r="K5" s="1725"/>
      <c r="L5" s="1725"/>
      <c r="M5" s="1725"/>
      <c r="N5" s="1725"/>
      <c r="O5" s="1725"/>
      <c r="P5" s="1725"/>
      <c r="Q5" s="1725"/>
    </row>
    <row r="6" spans="1:29" ht="10.5" customHeight="1">
      <c r="F6" s="2113" t="str">
        <f>IF(org=0,"Не определено",org)</f>
        <v>ООО "Автозаводская ТЭЦ"</v>
      </c>
      <c r="G6" s="2113"/>
      <c r="H6" s="2113"/>
      <c r="I6" s="2113"/>
      <c r="J6" s="2113"/>
      <c r="K6" s="1726"/>
      <c r="L6" s="1726"/>
      <c r="M6" s="1726"/>
      <c r="N6" s="1726"/>
      <c r="O6" s="1726"/>
      <c r="P6" s="1726"/>
      <c r="Q6" s="1726"/>
    </row>
    <row r="7" spans="1:29" ht="11.25" customHeight="1">
      <c r="E7" s="1046"/>
      <c r="F7" s="1100"/>
      <c r="G7" s="1100"/>
      <c r="H7" s="1100"/>
      <c r="I7" s="1100"/>
      <c r="J7" s="1100"/>
      <c r="K7" s="1728" t="s">
        <v>17</v>
      </c>
      <c r="L7" s="1728"/>
      <c r="M7" s="1728" t="s">
        <v>17</v>
      </c>
      <c r="N7" s="1728" t="s">
        <v>17</v>
      </c>
      <c r="O7" s="1728" t="s">
        <v>17</v>
      </c>
      <c r="P7" s="1728" t="s">
        <v>17</v>
      </c>
      <c r="Q7" s="1728"/>
      <c r="R7" s="1033"/>
      <c r="S7" s="1033"/>
      <c r="T7" s="1033"/>
      <c r="U7" s="1033"/>
      <c r="V7" s="1033"/>
      <c r="W7" s="1033"/>
      <c r="X7" s="1033"/>
      <c r="Y7" s="1033"/>
      <c r="Z7" s="1033"/>
      <c r="AA7" s="1033"/>
      <c r="AB7" s="1033"/>
      <c r="AC7" s="1033"/>
    </row>
    <row r="8" spans="1:29" s="1772" customFormat="1" ht="5.25" customHeight="1">
      <c r="A8" s="1043"/>
      <c r="B8" s="1043"/>
      <c r="C8" s="1043"/>
      <c r="E8" s="1101"/>
      <c r="F8" s="1102"/>
      <c r="G8" s="1102"/>
      <c r="H8" s="1102"/>
      <c r="I8" s="1102"/>
      <c r="J8" s="1102"/>
      <c r="K8" s="1729" t="s">
        <v>1987</v>
      </c>
      <c r="L8" s="1729"/>
      <c r="M8" s="1729"/>
      <c r="N8" s="1729"/>
      <c r="O8" s="1729"/>
      <c r="P8" s="1729"/>
      <c r="Q8" s="1729"/>
      <c r="R8" s="1101"/>
      <c r="S8" s="1101"/>
      <c r="T8" s="1101"/>
      <c r="U8" s="1101"/>
      <c r="V8" s="1101"/>
      <c r="W8" s="1101"/>
      <c r="X8" s="1101"/>
      <c r="Y8" s="1101"/>
      <c r="Z8" s="1101"/>
      <c r="AA8" s="1101"/>
      <c r="AB8" s="1101"/>
      <c r="AC8" s="1101"/>
    </row>
    <row r="9" spans="1:29" ht="10.5" customHeight="1">
      <c r="E9" s="1046"/>
      <c r="F9" s="2377" t="s">
        <v>292</v>
      </c>
      <c r="G9" s="2378"/>
      <c r="H9" s="2378"/>
      <c r="I9" s="2378"/>
      <c r="J9" s="2378"/>
      <c r="K9" s="1730"/>
      <c r="L9" s="1730"/>
      <c r="M9" s="1730"/>
      <c r="N9" s="1730"/>
      <c r="O9" s="1730"/>
      <c r="P9" s="1730"/>
      <c r="Q9" s="1730"/>
      <c r="R9" s="1113"/>
      <c r="S9" s="1033"/>
      <c r="T9" s="1033"/>
      <c r="U9" s="1033"/>
      <c r="V9" s="1033"/>
      <c r="W9" s="1033"/>
      <c r="X9" s="1033"/>
      <c r="Y9" s="1033"/>
      <c r="Z9" s="1033"/>
      <c r="AA9" s="1033"/>
      <c r="AB9" s="1033"/>
      <c r="AC9" s="1033"/>
    </row>
    <row r="10" spans="1:29" ht="24" customHeight="1">
      <c r="E10" s="1033"/>
      <c r="F10" s="2381" t="s">
        <v>88</v>
      </c>
      <c r="G10" s="2385" t="s">
        <v>2021</v>
      </c>
      <c r="H10" s="2356" t="s">
        <v>2022</v>
      </c>
      <c r="I10" s="2356"/>
      <c r="J10" s="2356"/>
      <c r="K10" s="2356" t="s">
        <v>2022</v>
      </c>
      <c r="L10" s="2356"/>
      <c r="M10" s="2356"/>
      <c r="N10" s="2356"/>
      <c r="O10" s="2356"/>
      <c r="P10" s="2356"/>
      <c r="Q10" s="2356"/>
      <c r="R10" s="1106"/>
      <c r="S10" s="1033"/>
      <c r="T10" s="1033"/>
      <c r="U10" s="1033"/>
      <c r="V10" s="1033"/>
      <c r="W10" s="1033"/>
      <c r="X10" s="1033"/>
      <c r="Y10" s="1033"/>
      <c r="Z10" s="1033"/>
      <c r="AA10" s="1033"/>
      <c r="AB10" s="1033"/>
      <c r="AC10" s="1033"/>
    </row>
    <row r="11" spans="1:29" ht="24" customHeight="1">
      <c r="E11" s="1033"/>
      <c r="F11" s="2382"/>
      <c r="G11" s="2385"/>
      <c r="H11" s="2384" t="e">
        <f>INDEX(IP_MAIN_LIST_NAME_IP,MATCH(H8,IP_MAIN_LIST_IP_ID,0))&amp;" ("&amp;INDEX(IP_MAIN_START_DATE,MATCH(H8,IP_MAIN_LIST_IP_ID,0))&amp;"-"&amp;INDEX(IP_MAIN_END_DATE,MATCH(H8,IP_MAIN_LIST_IP_ID,0))&amp;")"</f>
        <v>#N/A</v>
      </c>
      <c r="I11" s="2384"/>
      <c r="J11" s="2384"/>
      <c r="K11" s="2384" t="str">
        <f>INDEX(IP_MAIN_LIST_NAME_IP,MATCH(K8,IP_MAIN_LIST_IP_ID,0))&amp;" ("&amp;INDEX(IP_MAIN_START_DATE,MATCH(K8,IP_MAIN_LIST_IP_ID,0))&amp;"-"&amp;INDEX(IP_MAIN_END_DATE,MATCH(K8,IP_MAIN_LIST_IP_ID,0))&amp;")"</f>
        <v>Инвестиционная программа № 329_318/21П/од от 29.10.2021 ООО "Автозаводская ТЭЦ" в сфере теплоснабжения в отношении объектов, на территории городского округа Нижний Новгород на 2022-2026 годы (01.01.2022-31.12.2026)</v>
      </c>
      <c r="L11" s="2384"/>
      <c r="M11" s="2384"/>
      <c r="N11" s="2384"/>
      <c r="O11" s="2384"/>
      <c r="P11" s="2384"/>
      <c r="Q11" s="2384"/>
      <c r="R11" s="1106"/>
      <c r="S11" s="1033"/>
      <c r="T11" s="1033"/>
      <c r="U11" s="1033"/>
      <c r="V11" s="1033"/>
      <c r="W11" s="1033"/>
      <c r="X11" s="1033"/>
      <c r="Y11" s="1033"/>
      <c r="Z11" s="1033"/>
      <c r="AA11" s="1033"/>
      <c r="AB11" s="1033"/>
      <c r="AC11" s="1033"/>
    </row>
    <row r="12" spans="1:29" ht="10.5" customHeight="1">
      <c r="F12" s="2383"/>
      <c r="G12" s="2385"/>
      <c r="H12" s="1099" t="s">
        <v>2023</v>
      </c>
      <c r="I12" s="1105"/>
      <c r="J12" s="1099"/>
      <c r="K12" s="1915" t="s">
        <v>2023</v>
      </c>
      <c r="L12" s="1731">
        <v>2022</v>
      </c>
      <c r="M12" s="1731">
        <v>2023</v>
      </c>
      <c r="N12" s="1731">
        <v>2024</v>
      </c>
      <c r="O12" s="1731">
        <v>2025</v>
      </c>
      <c r="P12" s="1731">
        <v>2026</v>
      </c>
      <c r="Q12" s="1915"/>
      <c r="R12" s="1107"/>
    </row>
    <row r="13" spans="1:29" ht="10.5" hidden="1" customHeight="1">
      <c r="F13" s="1099">
        <v>1</v>
      </c>
      <c r="G13" s="1099">
        <v>2</v>
      </c>
      <c r="H13" s="1099">
        <v>3</v>
      </c>
      <c r="I13" s="1099">
        <v>4</v>
      </c>
      <c r="J13" s="1099">
        <v>5</v>
      </c>
      <c r="K13" s="1915">
        <v>3</v>
      </c>
      <c r="L13" s="1915">
        <v>4</v>
      </c>
      <c r="M13" s="1915">
        <v>4</v>
      </c>
      <c r="N13" s="1915">
        <v>4</v>
      </c>
      <c r="O13" s="1915">
        <v>4</v>
      </c>
      <c r="P13" s="1915">
        <v>4</v>
      </c>
      <c r="Q13" s="1915">
        <v>5</v>
      </c>
      <c r="R13" s="1107"/>
    </row>
    <row r="14" spans="1:29" ht="11.25" customHeight="1">
      <c r="F14" s="1098" t="s">
        <v>1220</v>
      </c>
      <c r="G14" s="2379" t="s">
        <v>2024</v>
      </c>
      <c r="H14" s="2379"/>
      <c r="I14" s="2379"/>
      <c r="J14" s="2379"/>
      <c r="K14" s="1732"/>
      <c r="L14" s="1732"/>
      <c r="M14" s="1732"/>
      <c r="N14" s="1732"/>
      <c r="O14" s="1732"/>
      <c r="P14" s="1732"/>
      <c r="Q14" s="1732"/>
      <c r="R14" s="1107"/>
    </row>
    <row r="15" spans="1:29" ht="11.25" customHeight="1">
      <c r="F15" s="1103">
        <v>1</v>
      </c>
      <c r="G15" s="605" t="s">
        <v>2025</v>
      </c>
      <c r="H15" s="1109">
        <f t="shared" ref="H15:H36" si="0">SUM(I15:J15)</f>
        <v>0</v>
      </c>
      <c r="I15" s="1109">
        <f>SUM(I16:I27)</f>
        <v>0</v>
      </c>
      <c r="J15" s="1098"/>
      <c r="K15" s="1916">
        <f t="shared" ref="K15:K36" si="1">SUM(L15:Q15)</f>
        <v>0</v>
      </c>
      <c r="L15" s="1916">
        <f>SUM(L16:L27)</f>
        <v>0</v>
      </c>
      <c r="M15" s="1916">
        <f>SUM(M16:M27)</f>
        <v>0</v>
      </c>
      <c r="N15" s="1916">
        <f>SUM(N16:N27)</f>
        <v>0</v>
      </c>
      <c r="O15" s="1916">
        <f>SUM(O16:O27)</f>
        <v>0</v>
      </c>
      <c r="P15" s="1916">
        <f>SUM(P16:P27)</f>
        <v>0</v>
      </c>
      <c r="Q15" s="1806"/>
      <c r="R15" s="1107"/>
    </row>
    <row r="16" spans="1:29" ht="22.5" customHeight="1">
      <c r="F16" s="1103" t="s">
        <v>620</v>
      </c>
      <c r="G16" s="1110" t="s">
        <v>1173</v>
      </c>
      <c r="H16" s="1109">
        <f t="shared" si="0"/>
        <v>0</v>
      </c>
      <c r="I16" s="1108"/>
      <c r="J16" s="1098"/>
      <c r="K16" s="1916">
        <f t="shared" si="1"/>
        <v>0</v>
      </c>
      <c r="L16" s="1733"/>
      <c r="M16" s="1733"/>
      <c r="N16" s="1733"/>
      <c r="O16" s="1733"/>
      <c r="P16" s="1733"/>
      <c r="Q16" s="1806"/>
      <c r="R16" s="1107"/>
    </row>
    <row r="17" spans="6:18" ht="22.5" customHeight="1">
      <c r="F17" s="1103" t="s">
        <v>626</v>
      </c>
      <c r="G17" s="1110" t="s">
        <v>1178</v>
      </c>
      <c r="H17" s="1109">
        <f t="shared" si="0"/>
        <v>0</v>
      </c>
      <c r="I17" s="1108"/>
      <c r="J17" s="1098"/>
      <c r="K17" s="1916">
        <f t="shared" si="1"/>
        <v>0</v>
      </c>
      <c r="L17" s="1733"/>
      <c r="M17" s="1733"/>
      <c r="N17" s="1733"/>
      <c r="O17" s="1733"/>
      <c r="P17" s="1733"/>
      <c r="Q17" s="1806"/>
      <c r="R17" s="1107"/>
    </row>
    <row r="18" spans="6:18" ht="33.75" customHeight="1">
      <c r="F18" s="1103" t="s">
        <v>1449</v>
      </c>
      <c r="G18" s="1110" t="s">
        <v>1166</v>
      </c>
      <c r="H18" s="1109">
        <f t="shared" si="0"/>
        <v>0</v>
      </c>
      <c r="I18" s="1108"/>
      <c r="J18" s="1098"/>
      <c r="K18" s="1916">
        <f t="shared" si="1"/>
        <v>0</v>
      </c>
      <c r="L18" s="1733"/>
      <c r="M18" s="1733"/>
      <c r="N18" s="1733"/>
      <c r="O18" s="1733"/>
      <c r="P18" s="1733"/>
      <c r="Q18" s="1806"/>
      <c r="R18" s="1107"/>
    </row>
    <row r="19" spans="6:18" ht="33.75" customHeight="1">
      <c r="F19" s="1103" t="s">
        <v>2026</v>
      </c>
      <c r="G19" s="1110" t="s">
        <v>1204</v>
      </c>
      <c r="H19" s="1109">
        <f t="shared" si="0"/>
        <v>0</v>
      </c>
      <c r="I19" s="1108"/>
      <c r="J19" s="1098"/>
      <c r="K19" s="1916">
        <f t="shared" si="1"/>
        <v>0</v>
      </c>
      <c r="L19" s="1733"/>
      <c r="M19" s="1733"/>
      <c r="N19" s="1733"/>
      <c r="O19" s="1733"/>
      <c r="P19" s="1733"/>
      <c r="Q19" s="1806"/>
      <c r="R19" s="1107"/>
    </row>
    <row r="20" spans="6:18" ht="45" customHeight="1">
      <c r="F20" s="1103" t="s">
        <v>2027</v>
      </c>
      <c r="G20" s="1110" t="s">
        <v>1208</v>
      </c>
      <c r="H20" s="1109">
        <f t="shared" si="0"/>
        <v>0</v>
      </c>
      <c r="I20" s="1108"/>
      <c r="J20" s="1098"/>
      <c r="K20" s="1916">
        <f t="shared" si="1"/>
        <v>0</v>
      </c>
      <c r="L20" s="1733"/>
      <c r="M20" s="1733"/>
      <c r="N20" s="1733"/>
      <c r="O20" s="1733"/>
      <c r="P20" s="1733"/>
      <c r="Q20" s="1806"/>
      <c r="R20" s="1107"/>
    </row>
    <row r="21" spans="6:18" ht="33.75" customHeight="1">
      <c r="F21" s="1103" t="s">
        <v>2028</v>
      </c>
      <c r="G21" s="1110" t="s">
        <v>1213</v>
      </c>
      <c r="H21" s="1109">
        <f t="shared" si="0"/>
        <v>0</v>
      </c>
      <c r="I21" s="1108"/>
      <c r="J21" s="1098"/>
      <c r="K21" s="1916">
        <f t="shared" si="1"/>
        <v>0</v>
      </c>
      <c r="L21" s="1733"/>
      <c r="M21" s="1733"/>
      <c r="N21" s="1733"/>
      <c r="O21" s="1733"/>
      <c r="P21" s="1733"/>
      <c r="Q21" s="1806"/>
      <c r="R21" s="1107"/>
    </row>
    <row r="22" spans="6:18" ht="33.75" customHeight="1">
      <c r="F22" s="1103" t="s">
        <v>2029</v>
      </c>
      <c r="G22" s="1110" t="s">
        <v>1218</v>
      </c>
      <c r="H22" s="1109">
        <f t="shared" si="0"/>
        <v>0</v>
      </c>
      <c r="I22" s="1108"/>
      <c r="J22" s="1098"/>
      <c r="K22" s="1916">
        <f t="shared" si="1"/>
        <v>0</v>
      </c>
      <c r="L22" s="1733"/>
      <c r="M22" s="1733"/>
      <c r="N22" s="1733"/>
      <c r="O22" s="1733"/>
      <c r="P22" s="1733"/>
      <c r="Q22" s="1806"/>
      <c r="R22" s="1107"/>
    </row>
    <row r="23" spans="6:18" ht="22.5" customHeight="1">
      <c r="F23" s="1103" t="s">
        <v>2030</v>
      </c>
      <c r="G23" s="1110" t="s">
        <v>1221</v>
      </c>
      <c r="H23" s="1109">
        <f t="shared" si="0"/>
        <v>0</v>
      </c>
      <c r="I23" s="1108"/>
      <c r="J23" s="1098"/>
      <c r="K23" s="1916">
        <f t="shared" si="1"/>
        <v>0</v>
      </c>
      <c r="L23" s="1733"/>
      <c r="M23" s="1733"/>
      <c r="N23" s="1733"/>
      <c r="O23" s="1733"/>
      <c r="P23" s="1733"/>
      <c r="Q23" s="1806"/>
      <c r="R23" s="1107"/>
    </row>
    <row r="24" spans="6:18" ht="22.5" customHeight="1">
      <c r="F24" s="1103" t="s">
        <v>2031</v>
      </c>
      <c r="G24" s="1110" t="s">
        <v>1199</v>
      </c>
      <c r="H24" s="1109">
        <f t="shared" si="0"/>
        <v>0</v>
      </c>
      <c r="I24" s="1108"/>
      <c r="J24" s="1098"/>
      <c r="K24" s="1916">
        <f t="shared" si="1"/>
        <v>0</v>
      </c>
      <c r="L24" s="1733"/>
      <c r="M24" s="1733"/>
      <c r="N24" s="1733"/>
      <c r="O24" s="1733"/>
      <c r="P24" s="1733"/>
      <c r="Q24" s="1806"/>
      <c r="R24" s="1107"/>
    </row>
    <row r="25" spans="6:18" ht="33.75" customHeight="1">
      <c r="F25" s="1103" t="s">
        <v>2032</v>
      </c>
      <c r="G25" s="1110" t="s">
        <v>1258</v>
      </c>
      <c r="H25" s="1109">
        <f t="shared" si="0"/>
        <v>0</v>
      </c>
      <c r="I25" s="1108"/>
      <c r="J25" s="1098"/>
      <c r="K25" s="1916">
        <f t="shared" si="1"/>
        <v>0</v>
      </c>
      <c r="L25" s="1733"/>
      <c r="M25" s="1733"/>
      <c r="N25" s="1733"/>
      <c r="O25" s="1733"/>
      <c r="P25" s="1733"/>
      <c r="Q25" s="1806"/>
      <c r="R25" s="1107"/>
    </row>
    <row r="26" spans="6:18" ht="33.75" customHeight="1">
      <c r="F26" s="1103" t="s">
        <v>2033</v>
      </c>
      <c r="G26" s="1110" t="s">
        <v>1260</v>
      </c>
      <c r="H26" s="1109">
        <f t="shared" si="0"/>
        <v>0</v>
      </c>
      <c r="I26" s="1108"/>
      <c r="J26" s="1098"/>
      <c r="K26" s="1916">
        <f t="shared" si="1"/>
        <v>0</v>
      </c>
      <c r="L26" s="1733"/>
      <c r="M26" s="1733"/>
      <c r="N26" s="1733"/>
      <c r="O26" s="1733"/>
      <c r="P26" s="1733"/>
      <c r="Q26" s="1806"/>
      <c r="R26" s="1107"/>
    </row>
    <row r="27" spans="6:18" ht="11.25" customHeight="1">
      <c r="F27" s="1103" t="s">
        <v>2034</v>
      </c>
      <c r="G27" s="1110" t="s">
        <v>1177</v>
      </c>
      <c r="H27" s="1109">
        <f t="shared" si="0"/>
        <v>0</v>
      </c>
      <c r="I27" s="1108"/>
      <c r="J27" s="1098"/>
      <c r="K27" s="1916">
        <f t="shared" si="1"/>
        <v>0</v>
      </c>
      <c r="L27" s="1733"/>
      <c r="M27" s="1733"/>
      <c r="N27" s="1733"/>
      <c r="O27" s="1733"/>
      <c r="P27" s="1733"/>
      <c r="Q27" s="1806"/>
      <c r="R27" s="1107"/>
    </row>
    <row r="28" spans="6:18" ht="11.25" customHeight="1">
      <c r="F28" s="1103">
        <v>2</v>
      </c>
      <c r="G28" s="605" t="s">
        <v>2035</v>
      </c>
      <c r="H28" s="1109">
        <f t="shared" si="0"/>
        <v>0</v>
      </c>
      <c r="I28" s="1109">
        <f>SUM(I29:I31)</f>
        <v>0</v>
      </c>
      <c r="J28" s="1098"/>
      <c r="K28" s="1916">
        <f t="shared" si="1"/>
        <v>0</v>
      </c>
      <c r="L28" s="1916">
        <f>SUM(L29:L31)</f>
        <v>0</v>
      </c>
      <c r="M28" s="1916">
        <f>SUM(M29:M31)</f>
        <v>0</v>
      </c>
      <c r="N28" s="1916">
        <f>SUM(N29:N31)</f>
        <v>0</v>
      </c>
      <c r="O28" s="1916">
        <f>SUM(O29:O31)</f>
        <v>0</v>
      </c>
      <c r="P28" s="1916">
        <f>SUM(P29:P31)</f>
        <v>0</v>
      </c>
      <c r="Q28" s="1806"/>
      <c r="R28" s="1107"/>
    </row>
    <row r="29" spans="6:18" ht="11.25" customHeight="1">
      <c r="F29" s="1103" t="s">
        <v>505</v>
      </c>
      <c r="G29" s="1110" t="s">
        <v>2036</v>
      </c>
      <c r="H29" s="1109">
        <f t="shared" si="0"/>
        <v>0</v>
      </c>
      <c r="I29" s="1108"/>
      <c r="J29" s="1098"/>
      <c r="K29" s="1916">
        <f t="shared" si="1"/>
        <v>0</v>
      </c>
      <c r="L29" s="1733"/>
      <c r="M29" s="1733"/>
      <c r="N29" s="1733"/>
      <c r="O29" s="1733"/>
      <c r="P29" s="1733"/>
      <c r="Q29" s="1806"/>
      <c r="R29" s="1107"/>
    </row>
    <row r="30" spans="6:18" ht="11.25" customHeight="1">
      <c r="F30" s="1103" t="s">
        <v>299</v>
      </c>
      <c r="G30" s="1110" t="s">
        <v>1174</v>
      </c>
      <c r="H30" s="1109">
        <f t="shared" si="0"/>
        <v>0</v>
      </c>
      <c r="I30" s="1108"/>
      <c r="J30" s="1098"/>
      <c r="K30" s="1916">
        <f t="shared" si="1"/>
        <v>0</v>
      </c>
      <c r="L30" s="1733"/>
      <c r="M30" s="1733"/>
      <c r="N30" s="1733"/>
      <c r="O30" s="1733"/>
      <c r="P30" s="1733"/>
      <c r="Q30" s="1806"/>
      <c r="R30" s="1107"/>
    </row>
    <row r="31" spans="6:18" ht="11.25" customHeight="1">
      <c r="F31" s="1103" t="s">
        <v>302</v>
      </c>
      <c r="G31" s="1110" t="s">
        <v>1217</v>
      </c>
      <c r="H31" s="1109">
        <f t="shared" si="0"/>
        <v>0</v>
      </c>
      <c r="I31" s="1108"/>
      <c r="J31" s="1098"/>
      <c r="K31" s="1916">
        <f t="shared" si="1"/>
        <v>0</v>
      </c>
      <c r="L31" s="1733"/>
      <c r="M31" s="1733"/>
      <c r="N31" s="1733"/>
      <c r="O31" s="1733"/>
      <c r="P31" s="1733"/>
      <c r="Q31" s="1806"/>
      <c r="R31" s="1107"/>
    </row>
    <row r="32" spans="6:18" ht="11.25" customHeight="1">
      <c r="F32" s="1103">
        <v>3</v>
      </c>
      <c r="G32" s="605" t="s">
        <v>2037</v>
      </c>
      <c r="H32" s="1109">
        <f t="shared" si="0"/>
        <v>0</v>
      </c>
      <c r="I32" s="1109">
        <f>SUM(I33:I34)</f>
        <v>0</v>
      </c>
      <c r="J32" s="1098"/>
      <c r="K32" s="1916">
        <f t="shared" si="1"/>
        <v>0</v>
      </c>
      <c r="L32" s="1916">
        <f>SUM(L33:L34)</f>
        <v>0</v>
      </c>
      <c r="M32" s="1916">
        <f>SUM(M33:M34)</f>
        <v>0</v>
      </c>
      <c r="N32" s="1916">
        <f>SUM(N33:N34)</f>
        <v>0</v>
      </c>
      <c r="O32" s="1916">
        <f>SUM(O33:O34)</f>
        <v>0</v>
      </c>
      <c r="P32" s="1916">
        <f>SUM(P33:P34)</f>
        <v>0</v>
      </c>
      <c r="Q32" s="1806"/>
      <c r="R32" s="1107"/>
    </row>
    <row r="33" spans="6:18" ht="33.75" customHeight="1">
      <c r="F33" s="1103" t="s">
        <v>318</v>
      </c>
      <c r="G33" s="1110" t="s">
        <v>2038</v>
      </c>
      <c r="H33" s="1109">
        <f t="shared" si="0"/>
        <v>0</v>
      </c>
      <c r="I33" s="1108"/>
      <c r="J33" s="1098"/>
      <c r="K33" s="1916">
        <f t="shared" si="1"/>
        <v>0</v>
      </c>
      <c r="L33" s="1733"/>
      <c r="M33" s="1733"/>
      <c r="N33" s="1733"/>
      <c r="O33" s="1733"/>
      <c r="P33" s="1733"/>
      <c r="Q33" s="1806"/>
      <c r="R33" s="1107"/>
    </row>
    <row r="34" spans="6:18" ht="11.25" customHeight="1">
      <c r="F34" s="1103" t="s">
        <v>326</v>
      </c>
      <c r="G34" s="1110" t="s">
        <v>2039</v>
      </c>
      <c r="H34" s="1109">
        <f t="shared" si="0"/>
        <v>0</v>
      </c>
      <c r="I34" s="1108"/>
      <c r="J34" s="1098"/>
      <c r="K34" s="1916">
        <f t="shared" si="1"/>
        <v>0</v>
      </c>
      <c r="L34" s="1733"/>
      <c r="M34" s="1733"/>
      <c r="N34" s="1733"/>
      <c r="O34" s="1733"/>
      <c r="P34" s="1733"/>
      <c r="Q34" s="1806"/>
      <c r="R34" s="1107"/>
    </row>
    <row r="35" spans="6:18" ht="11.25" customHeight="1">
      <c r="F35" s="1103">
        <v>4</v>
      </c>
      <c r="G35" s="605" t="s">
        <v>2040</v>
      </c>
      <c r="H35" s="1109">
        <f t="shared" si="0"/>
        <v>0</v>
      </c>
      <c r="I35" s="1108"/>
      <c r="J35" s="1098"/>
      <c r="K35" s="1916">
        <f t="shared" si="1"/>
        <v>0</v>
      </c>
      <c r="L35" s="1733"/>
      <c r="M35" s="1733"/>
      <c r="N35" s="1733"/>
      <c r="O35" s="1733"/>
      <c r="P35" s="1733"/>
      <c r="Q35" s="1806"/>
      <c r="R35" s="1107"/>
    </row>
    <row r="36" spans="6:18" ht="11.25" customHeight="1">
      <c r="F36" s="1103"/>
      <c r="G36" s="608" t="s">
        <v>2041</v>
      </c>
      <c r="H36" s="1109">
        <f t="shared" si="0"/>
        <v>0</v>
      </c>
      <c r="I36" s="1109">
        <f>SUM(I15,I28,I32,I35)</f>
        <v>0</v>
      </c>
      <c r="J36" s="1098"/>
      <c r="K36" s="1916">
        <f t="shared" si="1"/>
        <v>0</v>
      </c>
      <c r="L36" s="1916">
        <f>SUM(L15,L28,L32,L35)</f>
        <v>0</v>
      </c>
      <c r="M36" s="1916">
        <f>SUM(M15,M28,M32,M35)</f>
        <v>0</v>
      </c>
      <c r="N36" s="1916">
        <f>SUM(N15,N28,N32,N35)</f>
        <v>0</v>
      </c>
      <c r="O36" s="1916">
        <f>SUM(O15,O28,O32,O35)</f>
        <v>0</v>
      </c>
      <c r="P36" s="1916">
        <f>SUM(P15,P28,P32,P35)</f>
        <v>0</v>
      </c>
      <c r="Q36" s="1806"/>
      <c r="R36" s="1107"/>
    </row>
    <row r="37" spans="6:18" ht="27.75" customHeight="1">
      <c r="F37" s="1104" t="s">
        <v>1349</v>
      </c>
      <c r="G37" s="2380" t="s">
        <v>2042</v>
      </c>
      <c r="H37" s="2380"/>
      <c r="I37" s="2380"/>
      <c r="J37" s="2380"/>
      <c r="K37" s="1984"/>
      <c r="L37" s="1984"/>
      <c r="M37" s="1984"/>
      <c r="N37" s="1984"/>
      <c r="O37" s="1984"/>
      <c r="P37" s="1984"/>
      <c r="Q37" s="1984"/>
      <c r="R37" s="1107"/>
    </row>
    <row r="38" spans="6:18" ht="22.5" customHeight="1">
      <c r="F38" s="1103" t="s">
        <v>109</v>
      </c>
      <c r="G38" s="605" t="s">
        <v>2043</v>
      </c>
      <c r="H38" s="1109">
        <f t="shared" ref="H38:H58" si="2">SUM(I38:J38)</f>
        <v>0</v>
      </c>
      <c r="I38" s="1109">
        <f>SUM(I39,I44,I47)</f>
        <v>0</v>
      </c>
      <c r="J38" s="1098"/>
      <c r="K38" s="1916">
        <f t="shared" ref="K38:K58" si="3">SUM(L38:Q38)</f>
        <v>0</v>
      </c>
      <c r="L38" s="1916">
        <f>SUM(L39,L44,L47)</f>
        <v>0</v>
      </c>
      <c r="M38" s="1916">
        <f>SUM(M39,M44,M47)</f>
        <v>0</v>
      </c>
      <c r="N38" s="1916">
        <f>SUM(N39,N44,N47)</f>
        <v>0</v>
      </c>
      <c r="O38" s="1916">
        <f>SUM(O39,O44,O47)</f>
        <v>0</v>
      </c>
      <c r="P38" s="1916">
        <f>SUM(P39,P44,P47)</f>
        <v>0</v>
      </c>
      <c r="Q38" s="1806"/>
      <c r="R38" s="1107"/>
    </row>
    <row r="39" spans="6:18" ht="11.25" customHeight="1">
      <c r="F39" s="1103" t="s">
        <v>620</v>
      </c>
      <c r="G39" s="1110" t="s">
        <v>2025</v>
      </c>
      <c r="H39" s="1109">
        <f t="shared" si="2"/>
        <v>0</v>
      </c>
      <c r="I39" s="1109">
        <f>SUM(I40:I43)</f>
        <v>0</v>
      </c>
      <c r="J39" s="1098"/>
      <c r="K39" s="1916">
        <f t="shared" si="3"/>
        <v>0</v>
      </c>
      <c r="L39" s="1916">
        <f>SUM(L40:L43)</f>
        <v>0</v>
      </c>
      <c r="M39" s="1916">
        <f>SUM(M40:M43)</f>
        <v>0</v>
      </c>
      <c r="N39" s="1916">
        <f>SUM(N40:N43)</f>
        <v>0</v>
      </c>
      <c r="O39" s="1916">
        <f>SUM(O40:O43)</f>
        <v>0</v>
      </c>
      <c r="P39" s="1916">
        <f>SUM(P40:P43)</f>
        <v>0</v>
      </c>
      <c r="Q39" s="1806"/>
      <c r="R39" s="1107"/>
    </row>
    <row r="40" spans="6:18" ht="22.5" customHeight="1">
      <c r="F40" s="1103" t="s">
        <v>1445</v>
      </c>
      <c r="G40" s="1111" t="s">
        <v>2044</v>
      </c>
      <c r="H40" s="1109">
        <f t="shared" si="2"/>
        <v>0</v>
      </c>
      <c r="I40" s="1108"/>
      <c r="J40" s="1098"/>
      <c r="K40" s="1916">
        <f t="shared" si="3"/>
        <v>0</v>
      </c>
      <c r="L40" s="1733"/>
      <c r="M40" s="1733"/>
      <c r="N40" s="1733"/>
      <c r="O40" s="1733"/>
      <c r="P40" s="1733"/>
      <c r="Q40" s="1806"/>
      <c r="R40" s="1107"/>
    </row>
    <row r="41" spans="6:18" ht="11.25" customHeight="1">
      <c r="F41" s="1103" t="s">
        <v>2045</v>
      </c>
      <c r="G41" s="1111" t="s">
        <v>1167</v>
      </c>
      <c r="H41" s="1109">
        <f t="shared" si="2"/>
        <v>0</v>
      </c>
      <c r="I41" s="1108"/>
      <c r="J41" s="1098"/>
      <c r="K41" s="1916">
        <f t="shared" si="3"/>
        <v>0</v>
      </c>
      <c r="L41" s="1733"/>
      <c r="M41" s="1733"/>
      <c r="N41" s="1733"/>
      <c r="O41" s="1733"/>
      <c r="P41" s="1733"/>
      <c r="Q41" s="1806"/>
      <c r="R41" s="1107"/>
    </row>
    <row r="42" spans="6:18" ht="11.25" customHeight="1">
      <c r="F42" s="1103" t="s">
        <v>2046</v>
      </c>
      <c r="G42" s="1111" t="s">
        <v>2047</v>
      </c>
      <c r="H42" s="1109">
        <f t="shared" si="2"/>
        <v>0</v>
      </c>
      <c r="I42" s="1108"/>
      <c r="J42" s="1098"/>
      <c r="K42" s="1916">
        <f t="shared" si="3"/>
        <v>0</v>
      </c>
      <c r="L42" s="1733"/>
      <c r="M42" s="1733"/>
      <c r="N42" s="1733"/>
      <c r="O42" s="1733"/>
      <c r="P42" s="1733"/>
      <c r="Q42" s="1806"/>
      <c r="R42" s="1107"/>
    </row>
    <row r="43" spans="6:18" ht="33.75" customHeight="1">
      <c r="F43" s="1103" t="s">
        <v>2048</v>
      </c>
      <c r="G43" s="1111" t="s">
        <v>2049</v>
      </c>
      <c r="H43" s="1109">
        <f t="shared" si="2"/>
        <v>0</v>
      </c>
      <c r="I43" s="1108"/>
      <c r="J43" s="1098"/>
      <c r="K43" s="1916">
        <f t="shared" si="3"/>
        <v>0</v>
      </c>
      <c r="L43" s="1733"/>
      <c r="M43" s="1733"/>
      <c r="N43" s="1733"/>
      <c r="O43" s="1733"/>
      <c r="P43" s="1733"/>
      <c r="Q43" s="1806"/>
      <c r="R43" s="1107"/>
    </row>
    <row r="44" spans="6:18" ht="11.25" customHeight="1">
      <c r="F44" s="1103" t="s">
        <v>626</v>
      </c>
      <c r="G44" s="1110" t="s">
        <v>2037</v>
      </c>
      <c r="H44" s="1109">
        <f t="shared" si="2"/>
        <v>0</v>
      </c>
      <c r="I44" s="1109">
        <f>SUM(I45:I46)</f>
        <v>0</v>
      </c>
      <c r="J44" s="1098"/>
      <c r="K44" s="1916">
        <f t="shared" si="3"/>
        <v>0</v>
      </c>
      <c r="L44" s="1916">
        <f>SUM(L45:L46)</f>
        <v>0</v>
      </c>
      <c r="M44" s="1916">
        <f>SUM(M45:M46)</f>
        <v>0</v>
      </c>
      <c r="N44" s="1916">
        <f>SUM(N45:N46)</f>
        <v>0</v>
      </c>
      <c r="O44" s="1916">
        <f>SUM(O45:O46)</f>
        <v>0</v>
      </c>
      <c r="P44" s="1916">
        <f>SUM(P45:P46)</f>
        <v>0</v>
      </c>
      <c r="Q44" s="1806"/>
      <c r="R44" s="1107"/>
    </row>
    <row r="45" spans="6:18" ht="45" customHeight="1">
      <c r="F45" s="1103" t="s">
        <v>1447</v>
      </c>
      <c r="G45" s="1111" t="s">
        <v>2038</v>
      </c>
      <c r="H45" s="1109">
        <f t="shared" si="2"/>
        <v>0</v>
      </c>
      <c r="I45" s="1108"/>
      <c r="J45" s="1098"/>
      <c r="K45" s="1916">
        <f t="shared" si="3"/>
        <v>0</v>
      </c>
      <c r="L45" s="1733"/>
      <c r="M45" s="1733"/>
      <c r="N45" s="1733"/>
      <c r="O45" s="1733"/>
      <c r="P45" s="1733"/>
      <c r="Q45" s="1806"/>
      <c r="R45" s="1107"/>
    </row>
    <row r="46" spans="6:18" ht="11.25" customHeight="1">
      <c r="F46" s="1103" t="s">
        <v>2050</v>
      </c>
      <c r="G46" s="1111" t="s">
        <v>2039</v>
      </c>
      <c r="H46" s="1109">
        <f t="shared" si="2"/>
        <v>0</v>
      </c>
      <c r="I46" s="1108"/>
      <c r="J46" s="1098"/>
      <c r="K46" s="1916">
        <f t="shared" si="3"/>
        <v>0</v>
      </c>
      <c r="L46" s="1733"/>
      <c r="M46" s="1733"/>
      <c r="N46" s="1733"/>
      <c r="O46" s="1733"/>
      <c r="P46" s="1733"/>
      <c r="Q46" s="1806"/>
      <c r="R46" s="1107"/>
    </row>
    <row r="47" spans="6:18" ht="11.25" customHeight="1">
      <c r="F47" s="1103" t="s">
        <v>1449</v>
      </c>
      <c r="G47" s="1110" t="s">
        <v>2051</v>
      </c>
      <c r="H47" s="1109">
        <f t="shared" si="2"/>
        <v>0</v>
      </c>
      <c r="I47" s="1108"/>
      <c r="J47" s="1098"/>
      <c r="K47" s="1916">
        <f t="shared" si="3"/>
        <v>0</v>
      </c>
      <c r="L47" s="1733"/>
      <c r="M47" s="1733"/>
      <c r="N47" s="1733"/>
      <c r="O47" s="1733"/>
      <c r="P47" s="1733"/>
      <c r="Q47" s="1806"/>
      <c r="R47" s="1107"/>
    </row>
    <row r="48" spans="6:18" ht="22.5" customHeight="1">
      <c r="F48" s="1103" t="s">
        <v>110</v>
      </c>
      <c r="G48" s="605" t="s">
        <v>2052</v>
      </c>
      <c r="H48" s="1109">
        <f t="shared" si="2"/>
        <v>0</v>
      </c>
      <c r="I48" s="1109">
        <f>SUM(I49,I54,I57)</f>
        <v>0</v>
      </c>
      <c r="J48" s="1098"/>
      <c r="K48" s="1916">
        <f t="shared" si="3"/>
        <v>0</v>
      </c>
      <c r="L48" s="1916">
        <f>SUM(L49,L54,L57)</f>
        <v>0</v>
      </c>
      <c r="M48" s="1916">
        <f>SUM(M49,M54,M57)</f>
        <v>0</v>
      </c>
      <c r="N48" s="1916">
        <f>SUM(N49,N54,N57)</f>
        <v>0</v>
      </c>
      <c r="O48" s="1916">
        <f>SUM(O49,O54,O57)</f>
        <v>0</v>
      </c>
      <c r="P48" s="1916">
        <f>SUM(P49,P54,P57)</f>
        <v>0</v>
      </c>
      <c r="Q48" s="1806"/>
      <c r="R48" s="1107"/>
    </row>
    <row r="49" spans="6:18" ht="11.25" customHeight="1">
      <c r="F49" s="1103" t="s">
        <v>505</v>
      </c>
      <c r="G49" s="1110" t="s">
        <v>2025</v>
      </c>
      <c r="H49" s="1109">
        <f t="shared" si="2"/>
        <v>0</v>
      </c>
      <c r="I49" s="1109">
        <f>SUM(I50:I53)</f>
        <v>0</v>
      </c>
      <c r="J49" s="1098"/>
      <c r="K49" s="1916">
        <f t="shared" si="3"/>
        <v>0</v>
      </c>
      <c r="L49" s="1916">
        <f>SUM(L50:L53)</f>
        <v>0</v>
      </c>
      <c r="M49" s="1916">
        <f>SUM(M50:M53)</f>
        <v>0</v>
      </c>
      <c r="N49" s="1916">
        <f>SUM(N50:N53)</f>
        <v>0</v>
      </c>
      <c r="O49" s="1916">
        <f>SUM(O50:O53)</f>
        <v>0</v>
      </c>
      <c r="P49" s="1916">
        <f>SUM(P50:P53)</f>
        <v>0</v>
      </c>
      <c r="Q49" s="1806"/>
      <c r="R49" s="1107"/>
    </row>
    <row r="50" spans="6:18" ht="22.5" customHeight="1">
      <c r="F50" s="1103" t="s">
        <v>1457</v>
      </c>
      <c r="G50" s="1111" t="s">
        <v>2044</v>
      </c>
      <c r="H50" s="1109">
        <f t="shared" si="2"/>
        <v>0</v>
      </c>
      <c r="I50" s="1108"/>
      <c r="J50" s="1098"/>
      <c r="K50" s="1916">
        <f t="shared" si="3"/>
        <v>0</v>
      </c>
      <c r="L50" s="1733"/>
      <c r="M50" s="1733"/>
      <c r="N50" s="1733"/>
      <c r="O50" s="1733"/>
      <c r="P50" s="1733"/>
      <c r="Q50" s="1806"/>
      <c r="R50" s="1107"/>
    </row>
    <row r="51" spans="6:18" ht="11.25" customHeight="1">
      <c r="F51" s="1103" t="s">
        <v>1782</v>
      </c>
      <c r="G51" s="1111" t="s">
        <v>1167</v>
      </c>
      <c r="H51" s="1109">
        <f t="shared" si="2"/>
        <v>0</v>
      </c>
      <c r="I51" s="1108"/>
      <c r="J51" s="1098"/>
      <c r="K51" s="1916">
        <f t="shared" si="3"/>
        <v>0</v>
      </c>
      <c r="L51" s="1733"/>
      <c r="M51" s="1733"/>
      <c r="N51" s="1733"/>
      <c r="O51" s="1733"/>
      <c r="P51" s="1733"/>
      <c r="Q51" s="1806"/>
      <c r="R51" s="1107"/>
    </row>
    <row r="52" spans="6:18" ht="11.25" customHeight="1">
      <c r="F52" s="1103" t="s">
        <v>2053</v>
      </c>
      <c r="G52" s="1111" t="s">
        <v>2047</v>
      </c>
      <c r="H52" s="1109">
        <f t="shared" si="2"/>
        <v>0</v>
      </c>
      <c r="I52" s="1108"/>
      <c r="J52" s="1098"/>
      <c r="K52" s="1916">
        <f t="shared" si="3"/>
        <v>0</v>
      </c>
      <c r="L52" s="1733"/>
      <c r="M52" s="1733"/>
      <c r="N52" s="1733"/>
      <c r="O52" s="1733"/>
      <c r="P52" s="1733"/>
      <c r="Q52" s="1806"/>
      <c r="R52" s="1107"/>
    </row>
    <row r="53" spans="6:18" ht="33.75" customHeight="1">
      <c r="F53" s="1103" t="s">
        <v>2054</v>
      </c>
      <c r="G53" s="1111" t="s">
        <v>2049</v>
      </c>
      <c r="H53" s="1109">
        <f t="shared" si="2"/>
        <v>0</v>
      </c>
      <c r="I53" s="1108"/>
      <c r="J53" s="1098"/>
      <c r="K53" s="1916">
        <f t="shared" si="3"/>
        <v>0</v>
      </c>
      <c r="L53" s="1733"/>
      <c r="M53" s="1733"/>
      <c r="N53" s="1733"/>
      <c r="O53" s="1733"/>
      <c r="P53" s="1733"/>
      <c r="Q53" s="1806"/>
      <c r="R53" s="1107"/>
    </row>
    <row r="54" spans="6:18" ht="11.25" customHeight="1">
      <c r="F54" s="1103" t="s">
        <v>299</v>
      </c>
      <c r="G54" s="1110" t="s">
        <v>2037</v>
      </c>
      <c r="H54" s="1109">
        <f t="shared" si="2"/>
        <v>0</v>
      </c>
      <c r="I54" s="1109">
        <f>SUM(I55:I56)</f>
        <v>0</v>
      </c>
      <c r="J54" s="1098"/>
      <c r="K54" s="1916">
        <f t="shared" si="3"/>
        <v>0</v>
      </c>
      <c r="L54" s="1916">
        <f>SUM(L55:L56)</f>
        <v>0</v>
      </c>
      <c r="M54" s="1916">
        <f>SUM(M55:M56)</f>
        <v>0</v>
      </c>
      <c r="N54" s="1916">
        <f>SUM(N55:N56)</f>
        <v>0</v>
      </c>
      <c r="O54" s="1916">
        <f>SUM(O55:O56)</f>
        <v>0</v>
      </c>
      <c r="P54" s="1916">
        <f>SUM(P55:P56)</f>
        <v>0</v>
      </c>
      <c r="Q54" s="1806"/>
      <c r="R54" s="1107"/>
    </row>
    <row r="55" spans="6:18" ht="45" customHeight="1">
      <c r="F55" s="1103" t="s">
        <v>520</v>
      </c>
      <c r="G55" s="1111" t="s">
        <v>2038</v>
      </c>
      <c r="H55" s="1109">
        <f t="shared" si="2"/>
        <v>0</v>
      </c>
      <c r="I55" s="1108"/>
      <c r="J55" s="1098"/>
      <c r="K55" s="1916">
        <f t="shared" si="3"/>
        <v>0</v>
      </c>
      <c r="L55" s="1733"/>
      <c r="M55" s="1733"/>
      <c r="N55" s="1733"/>
      <c r="O55" s="1733"/>
      <c r="P55" s="1733"/>
      <c r="Q55" s="1806"/>
      <c r="R55" s="1107"/>
    </row>
    <row r="56" spans="6:18" ht="11.25" customHeight="1">
      <c r="F56" s="1103" t="s">
        <v>525</v>
      </c>
      <c r="G56" s="1111" t="s">
        <v>2039</v>
      </c>
      <c r="H56" s="1109">
        <f t="shared" si="2"/>
        <v>0</v>
      </c>
      <c r="I56" s="1108"/>
      <c r="J56" s="1098"/>
      <c r="K56" s="1916">
        <f t="shared" si="3"/>
        <v>0</v>
      </c>
      <c r="L56" s="1733"/>
      <c r="M56" s="1733"/>
      <c r="N56" s="1733"/>
      <c r="O56" s="1733"/>
      <c r="P56" s="1733"/>
      <c r="Q56" s="1806"/>
      <c r="R56" s="1107"/>
    </row>
    <row r="57" spans="6:18" ht="11.25" customHeight="1">
      <c r="F57" s="1103" t="s">
        <v>302</v>
      </c>
      <c r="G57" s="1110" t="s">
        <v>2051</v>
      </c>
      <c r="H57" s="1109">
        <f t="shared" si="2"/>
        <v>0</v>
      </c>
      <c r="I57" s="1108"/>
      <c r="J57" s="1098"/>
      <c r="K57" s="1916">
        <f t="shared" si="3"/>
        <v>0</v>
      </c>
      <c r="L57" s="1733"/>
      <c r="M57" s="1733"/>
      <c r="N57" s="1733"/>
      <c r="O57" s="1733"/>
      <c r="P57" s="1733"/>
      <c r="Q57" s="1806"/>
      <c r="R57" s="1107"/>
    </row>
    <row r="58" spans="6:18" ht="11.25" customHeight="1">
      <c r="F58" s="1103"/>
      <c r="G58" s="1112" t="s">
        <v>2041</v>
      </c>
      <c r="H58" s="1109">
        <f t="shared" si="2"/>
        <v>0</v>
      </c>
      <c r="I58" s="1109">
        <f>SUM(I38,I48)</f>
        <v>0</v>
      </c>
      <c r="J58" s="1098"/>
      <c r="K58" s="1916">
        <f t="shared" si="3"/>
        <v>0</v>
      </c>
      <c r="L58" s="1916">
        <f>SUM(L38,L48)</f>
        <v>0</v>
      </c>
      <c r="M58" s="1916">
        <f>SUM(M38,M48)</f>
        <v>0</v>
      </c>
      <c r="N58" s="1916">
        <f>SUM(N38,N48)</f>
        <v>0</v>
      </c>
      <c r="O58" s="1916">
        <f>SUM(O38,O48)</f>
        <v>0</v>
      </c>
      <c r="P58" s="1916">
        <f>SUM(P38,P48)</f>
        <v>0</v>
      </c>
      <c r="Q58" s="1806"/>
      <c r="R58" s="1107"/>
    </row>
  </sheetData>
  <sheetProtection formatColumns="0" formatRows="0" insertRows="0" deleteColumns="0" deleteRows="0" sort="0" autoFilter="0"/>
  <mergeCells count="11">
    <mergeCell ref="K10:Q10"/>
    <mergeCell ref="K11:Q11"/>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L16:P16 L17:P17 L18:P18 L19:P19 L20:P20 L21:P21 L22:P22 L23:P23 L24:P24 L25:P25 L26:P26 L27:P27 L29:P29 L30:P30 L31:P31 L33:P33 L34:P34 L35:P35 L40:P40 L41:P41 L42:P42 L43:P43 L45:P45 L46:P46 L47:P47 L50:P50 L51:P51 L52:P52 L53:P53 L55:P55 L56:P56 L57:P5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B27"/>
  <sheetViews>
    <sheetView showGridLines="0" topLeftCell="E4" zoomScale="90" workbookViewId="0">
      <selection activeCell="H22" sqref="H22"/>
    </sheetView>
  </sheetViews>
  <sheetFormatPr defaultColWidth="9.140625" defaultRowHeight="12" customHeight="1"/>
  <cols>
    <col min="1" max="1" width="4.7109375" style="1738" hidden="1" customWidth="1"/>
    <col min="2" max="2" width="4.7109375" style="1739" hidden="1" customWidth="1"/>
    <col min="3" max="4" width="4.7109375" style="1738" hidden="1" customWidth="1"/>
    <col min="5" max="5" width="3.5703125" style="1738" customWidth="1"/>
    <col min="6" max="6" width="6.7109375" style="1738" customWidth="1"/>
    <col min="7" max="7" width="18.7109375" style="1738" customWidth="1"/>
    <col min="8" max="8" width="27.28515625" style="1738" customWidth="1"/>
    <col min="9" max="9" width="18.7109375" style="1738" customWidth="1"/>
    <col min="10" max="14" width="0.85546875" style="1738" hidden="1" customWidth="1"/>
    <col min="15" max="28" width="21.7109375" style="1738" customWidth="1"/>
    <col min="29" max="71" width="0.85546875" style="1738" customWidth="1"/>
    <col min="72" max="79" width="21.7109375" style="1738" hidden="1" customWidth="1"/>
    <col min="80" max="81" width="29.140625" style="1738" hidden="1" customWidth="1"/>
    <col min="82" max="89" width="21.7109375" style="1738" hidden="1" customWidth="1"/>
    <col min="90" max="102" width="0.7109375" style="1738" hidden="1" customWidth="1"/>
    <col min="103" max="114" width="21.7109375" style="1738" hidden="1" customWidth="1"/>
    <col min="115" max="178" width="0.7109375" style="1738" hidden="1" customWidth="1"/>
    <col min="179" max="179" width="0.140625" style="1738" customWidth="1"/>
    <col min="180" max="184" width="9.140625" style="1738"/>
  </cols>
  <sheetData>
    <row r="1" spans="2:180" s="1871" customFormat="1" ht="12" hidden="1" customHeight="1">
      <c r="B1" s="823"/>
      <c r="C1" s="824"/>
      <c r="D1" s="824"/>
    </row>
    <row r="2" spans="2:180" s="1871" customFormat="1" ht="12" hidden="1" customHeight="1">
      <c r="B2" s="823"/>
      <c r="C2" s="824"/>
      <c r="D2" s="824"/>
      <c r="E2" s="824"/>
      <c r="F2" s="824"/>
      <c r="G2" s="824"/>
      <c r="H2" s="824"/>
      <c r="I2" s="824"/>
      <c r="J2" s="824"/>
      <c r="K2" s="824"/>
      <c r="L2" s="824"/>
      <c r="M2" s="824"/>
      <c r="N2" s="824"/>
      <c r="O2" s="824"/>
      <c r="P2" s="824"/>
      <c r="Q2" s="824"/>
      <c r="R2" s="824"/>
      <c r="S2" s="824"/>
      <c r="T2" s="824"/>
      <c r="U2" s="824"/>
      <c r="V2" s="824"/>
      <c r="W2" s="824"/>
      <c r="X2" s="824"/>
      <c r="Y2" s="824"/>
      <c r="Z2" s="824"/>
      <c r="AA2" s="824"/>
      <c r="AB2" s="825"/>
      <c r="AC2" s="824"/>
      <c r="AD2" s="824"/>
      <c r="AE2" s="824"/>
      <c r="AF2" s="824"/>
      <c r="AG2" s="824"/>
      <c r="AH2" s="824"/>
      <c r="AI2" s="824"/>
      <c r="AJ2" s="824"/>
      <c r="AK2" s="824"/>
      <c r="AL2" s="824"/>
      <c r="AM2" s="824"/>
      <c r="AN2" s="824"/>
      <c r="AO2" s="824"/>
      <c r="AP2" s="824"/>
      <c r="AQ2" s="824"/>
      <c r="AR2" s="824"/>
      <c r="AS2" s="824"/>
      <c r="AT2" s="824"/>
      <c r="AU2" s="824"/>
      <c r="AV2" s="824"/>
      <c r="AW2" s="824"/>
      <c r="AX2" s="824"/>
      <c r="AY2" s="824"/>
      <c r="AZ2" s="824"/>
      <c r="BA2" s="824"/>
      <c r="BB2" s="824"/>
      <c r="BC2" s="824"/>
      <c r="BD2" s="824"/>
      <c r="BE2" s="824"/>
      <c r="BF2" s="824"/>
      <c r="BG2" s="824"/>
      <c r="BH2" s="824"/>
      <c r="BI2" s="824"/>
      <c r="BJ2" s="824"/>
      <c r="BK2" s="824"/>
      <c r="BL2" s="824"/>
      <c r="BM2" s="824"/>
      <c r="BN2" s="824"/>
      <c r="BO2" s="824"/>
      <c r="BP2" s="824"/>
      <c r="BQ2" s="824"/>
      <c r="BR2" s="824"/>
      <c r="BS2" s="824"/>
      <c r="BT2" s="824"/>
      <c r="BU2" s="824"/>
      <c r="BV2" s="824"/>
      <c r="BW2" s="824"/>
      <c r="BX2" s="824"/>
      <c r="BY2" s="824"/>
      <c r="BZ2" s="824"/>
      <c r="CA2" s="824"/>
      <c r="CB2" s="824"/>
      <c r="CC2" s="824"/>
      <c r="CD2" s="824"/>
      <c r="CE2" s="824"/>
      <c r="CF2" s="824"/>
      <c r="CG2" s="824"/>
      <c r="CH2" s="824"/>
      <c r="CI2" s="824"/>
      <c r="CJ2" s="824"/>
      <c r="CK2" s="824"/>
      <c r="CL2" s="824"/>
      <c r="CM2" s="824"/>
      <c r="CN2" s="824"/>
      <c r="CO2" s="824"/>
      <c r="CP2" s="824"/>
      <c r="CQ2" s="824"/>
      <c r="CR2" s="824"/>
      <c r="CS2" s="824"/>
      <c r="CT2" s="824"/>
      <c r="CU2" s="824"/>
      <c r="CV2" s="824"/>
      <c r="CW2" s="824"/>
      <c r="CX2" s="824"/>
      <c r="CY2" s="824"/>
      <c r="CZ2" s="824"/>
      <c r="DA2" s="824"/>
      <c r="DB2" s="824"/>
      <c r="DC2" s="824"/>
      <c r="DD2" s="824"/>
      <c r="DE2" s="824"/>
      <c r="DF2" s="824"/>
      <c r="DG2" s="824"/>
      <c r="DH2" s="824"/>
      <c r="DI2" s="824"/>
      <c r="DJ2" s="824"/>
      <c r="DK2" s="824"/>
      <c r="DL2" s="824"/>
      <c r="DM2" s="824"/>
      <c r="DN2" s="824"/>
      <c r="DO2" s="824"/>
      <c r="DP2" s="824"/>
      <c r="DQ2" s="824"/>
      <c r="DR2" s="824"/>
      <c r="DS2" s="824"/>
      <c r="DT2" s="824"/>
      <c r="DU2" s="824"/>
      <c r="DV2" s="824"/>
      <c r="DW2" s="824"/>
      <c r="DX2" s="824"/>
      <c r="DY2" s="824"/>
      <c r="DZ2" s="824"/>
      <c r="EA2" s="824"/>
      <c r="EB2" s="824"/>
      <c r="EC2" s="824"/>
      <c r="ED2" s="824"/>
      <c r="EE2" s="824"/>
      <c r="EF2" s="824"/>
      <c r="EG2" s="824"/>
      <c r="EH2" s="824"/>
      <c r="EI2" s="824"/>
      <c r="EJ2" s="824"/>
      <c r="EK2" s="824"/>
      <c r="EL2" s="824"/>
      <c r="EM2" s="824"/>
      <c r="EN2" s="824"/>
      <c r="EO2" s="824"/>
      <c r="EP2" s="824"/>
      <c r="EQ2" s="824"/>
      <c r="ER2" s="824"/>
      <c r="ES2" s="824"/>
      <c r="ET2" s="824"/>
      <c r="EU2" s="824"/>
      <c r="EV2" s="824"/>
      <c r="EW2" s="824"/>
      <c r="EX2" s="824"/>
      <c r="EY2" s="824"/>
      <c r="EZ2" s="824"/>
      <c r="FA2" s="824"/>
      <c r="FB2" s="824"/>
      <c r="FC2" s="824"/>
      <c r="FD2" s="824"/>
      <c r="FE2" s="824"/>
      <c r="FF2" s="824"/>
      <c r="FG2" s="824"/>
      <c r="FH2" s="824"/>
      <c r="FI2" s="824"/>
      <c r="FJ2" s="824"/>
      <c r="FK2" s="824"/>
      <c r="FL2" s="824"/>
      <c r="FM2" s="824"/>
      <c r="FN2" s="824"/>
      <c r="FO2" s="824"/>
      <c r="FP2" s="824"/>
      <c r="FQ2" s="824"/>
      <c r="FR2" s="824"/>
      <c r="FS2" s="824"/>
      <c r="FT2" s="824"/>
      <c r="FU2" s="824"/>
      <c r="FV2" s="824"/>
      <c r="FW2" s="824"/>
    </row>
    <row r="3" spans="2:180" s="1871" customFormat="1" ht="12" hidden="1" customHeight="1">
      <c r="B3" s="823"/>
      <c r="C3" s="824"/>
      <c r="D3" s="824"/>
      <c r="E3" s="824"/>
      <c r="F3" s="824"/>
      <c r="G3" s="824"/>
      <c r="H3" s="824"/>
      <c r="I3" s="824"/>
      <c r="J3" s="824"/>
      <c r="K3" s="824"/>
      <c r="L3" s="824"/>
      <c r="M3" s="824"/>
      <c r="N3" s="824"/>
      <c r="O3" s="824"/>
      <c r="P3" s="824"/>
      <c r="Q3" s="824"/>
      <c r="R3" s="824"/>
      <c r="S3" s="824"/>
      <c r="T3" s="824"/>
      <c r="U3" s="824"/>
      <c r="V3" s="824"/>
      <c r="W3" s="824"/>
      <c r="X3" s="824"/>
      <c r="Y3" s="824"/>
      <c r="Z3" s="824"/>
      <c r="AA3" s="824"/>
      <c r="AB3" s="825"/>
      <c r="AC3" s="824"/>
      <c r="AD3" s="824"/>
      <c r="AE3" s="824"/>
      <c r="AF3" s="824"/>
      <c r="AG3" s="824"/>
      <c r="AH3" s="824"/>
      <c r="AI3" s="824"/>
      <c r="AJ3" s="824"/>
      <c r="AK3" s="824"/>
      <c r="AL3" s="824"/>
      <c r="AM3" s="824"/>
      <c r="AN3" s="824"/>
      <c r="AO3" s="824"/>
      <c r="AP3" s="824"/>
      <c r="AQ3" s="824"/>
      <c r="AR3" s="824"/>
      <c r="AS3" s="824"/>
      <c r="AT3" s="824"/>
      <c r="AU3" s="824"/>
      <c r="AV3" s="824"/>
      <c r="AW3" s="824"/>
      <c r="AX3" s="824"/>
      <c r="AY3" s="824"/>
      <c r="AZ3" s="824"/>
      <c r="BA3" s="824"/>
      <c r="BB3" s="824"/>
      <c r="BC3" s="824"/>
      <c r="BD3" s="824"/>
      <c r="BE3" s="824"/>
      <c r="BF3" s="824"/>
      <c r="BG3" s="824"/>
      <c r="BH3" s="824"/>
      <c r="BI3" s="824"/>
      <c r="BJ3" s="824"/>
      <c r="BK3" s="824"/>
      <c r="BL3" s="824"/>
      <c r="BM3" s="824"/>
      <c r="BN3" s="824"/>
      <c r="BO3" s="824"/>
      <c r="BP3" s="824"/>
      <c r="BQ3" s="824"/>
      <c r="BR3" s="824"/>
      <c r="BS3" s="824"/>
      <c r="BT3" s="824"/>
      <c r="BU3" s="824"/>
      <c r="BV3" s="824"/>
      <c r="BW3" s="824"/>
      <c r="BX3" s="824"/>
      <c r="BY3" s="824"/>
      <c r="BZ3" s="824"/>
      <c r="CA3" s="824"/>
      <c r="CB3" s="824"/>
      <c r="CC3" s="824"/>
      <c r="CD3" s="824"/>
      <c r="CE3" s="824"/>
      <c r="CF3" s="824"/>
      <c r="CG3" s="824"/>
      <c r="CH3" s="824"/>
      <c r="CI3" s="824"/>
      <c r="CJ3" s="824"/>
      <c r="CK3" s="824"/>
      <c r="CL3" s="824"/>
      <c r="CM3" s="824"/>
      <c r="CN3" s="824"/>
      <c r="CO3" s="824"/>
      <c r="CP3" s="824"/>
      <c r="CQ3" s="824"/>
      <c r="CR3" s="824"/>
      <c r="CS3" s="824"/>
      <c r="CT3" s="824"/>
      <c r="CU3" s="824"/>
      <c r="CV3" s="824"/>
      <c r="CW3" s="824"/>
      <c r="CX3" s="824"/>
      <c r="CY3" s="824"/>
      <c r="CZ3" s="824"/>
      <c r="DA3" s="824"/>
      <c r="DB3" s="824"/>
      <c r="DC3" s="824"/>
      <c r="DD3" s="824"/>
      <c r="DE3" s="824"/>
      <c r="DF3" s="824"/>
      <c r="DG3" s="824"/>
      <c r="DH3" s="824"/>
      <c r="DI3" s="824"/>
      <c r="DJ3" s="824"/>
      <c r="DK3" s="824"/>
      <c r="DL3" s="824"/>
      <c r="DM3" s="824"/>
      <c r="DN3" s="824"/>
      <c r="DO3" s="824"/>
      <c r="DP3" s="824"/>
      <c r="DQ3" s="824"/>
      <c r="DR3" s="824"/>
      <c r="DS3" s="824"/>
      <c r="DT3" s="824"/>
      <c r="DU3" s="824"/>
      <c r="DV3" s="824"/>
      <c r="DW3" s="824"/>
      <c r="DX3" s="824"/>
      <c r="DY3" s="824"/>
      <c r="DZ3" s="824"/>
      <c r="EA3" s="824"/>
      <c r="EB3" s="824"/>
      <c r="EC3" s="824"/>
      <c r="ED3" s="824"/>
      <c r="EE3" s="824"/>
      <c r="EF3" s="824"/>
      <c r="EG3" s="824"/>
      <c r="EH3" s="824"/>
      <c r="EI3" s="824"/>
      <c r="EJ3" s="824"/>
      <c r="EK3" s="824"/>
      <c r="EL3" s="824"/>
      <c r="EM3" s="824"/>
      <c r="EN3" s="824"/>
      <c r="EO3" s="824"/>
      <c r="EP3" s="824"/>
      <c r="EQ3" s="824"/>
      <c r="ER3" s="824"/>
      <c r="ES3" s="824"/>
      <c r="ET3" s="824"/>
      <c r="EU3" s="824"/>
      <c r="EV3" s="824"/>
      <c r="EW3" s="824"/>
      <c r="EX3" s="824"/>
      <c r="EY3" s="824"/>
      <c r="EZ3" s="824"/>
      <c r="FA3" s="824"/>
      <c r="FB3" s="824"/>
      <c r="FC3" s="824"/>
      <c r="FD3" s="824"/>
      <c r="FE3" s="824"/>
      <c r="FF3" s="824"/>
      <c r="FG3" s="824"/>
      <c r="FH3" s="824"/>
      <c r="FI3" s="824"/>
      <c r="FJ3" s="824"/>
      <c r="FK3" s="824"/>
      <c r="FL3" s="824"/>
      <c r="FM3" s="824"/>
      <c r="FN3" s="824"/>
      <c r="FO3" s="824"/>
      <c r="FP3" s="824"/>
      <c r="FQ3" s="824"/>
      <c r="FR3" s="824"/>
      <c r="FS3" s="824"/>
      <c r="FT3" s="824"/>
      <c r="FU3" s="824"/>
      <c r="FV3" s="824"/>
      <c r="FW3" s="824"/>
    </row>
    <row r="4" spans="2:180" ht="10.5" customHeight="1">
      <c r="B4" s="826"/>
      <c r="C4" s="827"/>
      <c r="D4" s="827"/>
      <c r="E4" s="827"/>
      <c r="F4" s="827"/>
      <c r="G4" s="827"/>
      <c r="H4" s="828"/>
      <c r="I4" s="828"/>
      <c r="J4" s="828"/>
      <c r="K4" s="828"/>
      <c r="L4" s="828"/>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829"/>
      <c r="BA4" s="829"/>
      <c r="BB4" s="829"/>
      <c r="BC4" s="829"/>
      <c r="BD4" s="829"/>
      <c r="BE4" s="829"/>
      <c r="BF4" s="829"/>
      <c r="BG4" s="829"/>
      <c r="BH4" s="829"/>
      <c r="BI4" s="829"/>
      <c r="BJ4" s="829"/>
      <c r="BK4" s="829"/>
      <c r="BL4" s="829"/>
      <c r="BM4" s="829"/>
      <c r="BN4" s="829"/>
      <c r="BO4" s="829"/>
      <c r="BP4" s="829"/>
      <c r="BQ4" s="829"/>
      <c r="BR4" s="829"/>
      <c r="BS4" s="829"/>
      <c r="BT4" s="829"/>
      <c r="BU4" s="829"/>
      <c r="BV4" s="829"/>
      <c r="BW4" s="829"/>
      <c r="BX4" s="829"/>
      <c r="BY4" s="829"/>
      <c r="BZ4" s="829"/>
      <c r="CA4" s="829"/>
      <c r="CB4" s="829"/>
      <c r="CC4" s="829"/>
      <c r="CD4" s="829"/>
      <c r="CE4" s="829"/>
      <c r="CF4" s="829"/>
      <c r="CG4" s="829"/>
      <c r="CH4" s="829"/>
      <c r="CI4" s="829"/>
      <c r="CJ4" s="829"/>
      <c r="CK4" s="829"/>
      <c r="CL4" s="829"/>
      <c r="CM4" s="829"/>
      <c r="CN4" s="829"/>
      <c r="CO4" s="829"/>
      <c r="CP4" s="829"/>
      <c r="CQ4" s="829"/>
      <c r="CR4" s="829"/>
      <c r="CS4" s="829"/>
      <c r="CT4" s="829"/>
      <c r="CU4" s="829"/>
      <c r="CV4" s="829"/>
      <c r="CW4" s="829"/>
      <c r="CX4" s="829"/>
      <c r="CY4" s="829"/>
      <c r="CZ4" s="829"/>
      <c r="DA4" s="829"/>
      <c r="DB4" s="829"/>
      <c r="DC4" s="829"/>
      <c r="DD4" s="829"/>
      <c r="DE4" s="829"/>
      <c r="DF4" s="829"/>
      <c r="DG4" s="829"/>
      <c r="DH4" s="829"/>
      <c r="DI4" s="829"/>
      <c r="DJ4" s="829"/>
      <c r="DK4" s="829"/>
      <c r="DL4" s="829"/>
      <c r="DM4" s="829"/>
      <c r="DN4" s="829"/>
      <c r="DO4" s="829"/>
      <c r="DP4" s="829"/>
      <c r="DQ4" s="829"/>
      <c r="DR4" s="829"/>
      <c r="DS4" s="829"/>
      <c r="DT4" s="829"/>
      <c r="DU4" s="829"/>
      <c r="DV4" s="829"/>
      <c r="DW4" s="829"/>
      <c r="DX4" s="829"/>
      <c r="DY4" s="829"/>
      <c r="DZ4" s="829"/>
      <c r="EA4" s="829"/>
      <c r="EB4" s="829"/>
      <c r="EC4" s="829"/>
      <c r="ED4" s="829"/>
      <c r="EE4" s="829"/>
      <c r="EF4" s="829"/>
      <c r="EG4" s="829"/>
      <c r="EH4" s="829"/>
      <c r="EI4" s="829"/>
      <c r="EJ4" s="829"/>
      <c r="EK4" s="829"/>
      <c r="EL4" s="829"/>
      <c r="EM4" s="829"/>
      <c r="EN4" s="829"/>
      <c r="EO4" s="829"/>
      <c r="EP4" s="829"/>
      <c r="EQ4" s="829"/>
      <c r="ER4" s="829"/>
      <c r="ES4" s="829"/>
      <c r="ET4" s="829"/>
      <c r="EU4" s="829"/>
      <c r="EV4" s="829"/>
      <c r="EW4" s="829"/>
      <c r="EX4" s="829"/>
      <c r="EY4" s="829"/>
      <c r="EZ4" s="829"/>
      <c r="FA4" s="829"/>
      <c r="FB4" s="829"/>
      <c r="FC4" s="829"/>
      <c r="FD4" s="829"/>
      <c r="FE4" s="829"/>
      <c r="FF4" s="829"/>
      <c r="FG4" s="829"/>
      <c r="FH4" s="829"/>
      <c r="FI4" s="829"/>
      <c r="FJ4" s="829"/>
      <c r="FK4" s="829"/>
      <c r="FL4" s="829"/>
      <c r="FM4" s="829"/>
      <c r="FN4" s="829"/>
      <c r="FO4" s="829"/>
      <c r="FP4" s="829"/>
      <c r="FQ4" s="829"/>
      <c r="FR4" s="829"/>
      <c r="FS4" s="829"/>
      <c r="FT4" s="829"/>
      <c r="FU4" s="829"/>
      <c r="FV4" s="829"/>
      <c r="FW4" s="829"/>
    </row>
    <row r="5" spans="2:180" s="1952" customFormat="1" ht="24" customHeight="1">
      <c r="B5" s="841"/>
      <c r="E5" s="842"/>
      <c r="F5" s="2014" t="str">
        <f>"Информация о реализации инвестиционных программ и показатели качества, надежности и энергетической эффективности в сфере "&amp;TEMPLATE_SPHERE_RUS&amp;" на "&amp;TITLE_FIL_YEAR&amp;" год"</f>
        <v>Информация о реализации инвестиционных программ и показатели качества, надежности и энергетической эффективности в сфере теплоснабжения на 2023 год</v>
      </c>
      <c r="G5" s="2015"/>
      <c r="H5" s="2015"/>
      <c r="I5" s="2015"/>
      <c r="J5" s="2015"/>
      <c r="K5" s="2015"/>
      <c r="L5" s="2015"/>
      <c r="M5" s="2015"/>
      <c r="N5" s="2015"/>
      <c r="O5" s="2015"/>
      <c r="P5" s="2015"/>
      <c r="Q5" s="2015"/>
      <c r="R5" s="2015"/>
      <c r="S5" s="2015"/>
      <c r="T5" s="2015"/>
      <c r="U5" s="2015"/>
      <c r="V5" s="2015"/>
      <c r="W5" s="2015"/>
      <c r="X5" s="2015"/>
      <c r="Y5" s="2015"/>
      <c r="Z5" s="2015"/>
      <c r="AA5" s="2015"/>
      <c r="AB5" s="2015"/>
      <c r="AC5" s="2015"/>
      <c r="AD5" s="2015"/>
      <c r="AE5" s="2015"/>
      <c r="AF5" s="2015"/>
      <c r="AG5" s="2015"/>
      <c r="AH5" s="2015"/>
      <c r="AI5" s="2015"/>
      <c r="AJ5" s="2015"/>
      <c r="AK5" s="2015"/>
      <c r="AL5" s="2015"/>
      <c r="AM5" s="2015"/>
      <c r="AN5" s="2015"/>
      <c r="AO5" s="2015"/>
      <c r="AP5" s="2015"/>
      <c r="AQ5" s="2015"/>
      <c r="AR5" s="2015"/>
      <c r="AS5" s="2015"/>
      <c r="AT5" s="2015"/>
      <c r="AU5" s="2015"/>
      <c r="AV5" s="2015"/>
      <c r="AW5" s="2015"/>
      <c r="AX5" s="2015"/>
      <c r="AY5" s="2015"/>
      <c r="AZ5" s="2015"/>
      <c r="BA5" s="2015"/>
      <c r="BB5" s="2015"/>
      <c r="BC5" s="2015"/>
      <c r="BD5" s="2015"/>
      <c r="BE5" s="2015"/>
      <c r="BF5" s="2015"/>
      <c r="BG5" s="2015"/>
      <c r="BH5" s="2015"/>
      <c r="BI5" s="2015"/>
      <c r="BJ5" s="2015"/>
      <c r="BK5" s="2015"/>
      <c r="BL5" s="2015"/>
      <c r="BM5" s="2015"/>
      <c r="BN5" s="2015"/>
      <c r="BO5" s="2015"/>
      <c r="BP5" s="2015"/>
      <c r="BQ5" s="2015"/>
      <c r="BR5" s="2015"/>
      <c r="BS5" s="2015"/>
    </row>
    <row r="6" spans="2:180" s="1952" customFormat="1" ht="18" customHeight="1">
      <c r="B6" s="841"/>
      <c r="E6" s="842"/>
      <c r="F6" s="2126" t="str">
        <f>IF(org=0,"Не определено",org)</f>
        <v>ООО "Автозаводская ТЭЦ"</v>
      </c>
      <c r="G6" s="2127"/>
      <c r="H6" s="2127"/>
      <c r="I6" s="2127"/>
      <c r="J6" s="2127"/>
      <c r="K6" s="2127"/>
      <c r="L6" s="2127"/>
      <c r="M6" s="2127"/>
      <c r="N6" s="2127"/>
      <c r="O6" s="2127"/>
      <c r="P6" s="2127"/>
      <c r="Q6" s="2127"/>
      <c r="R6" s="2127"/>
      <c r="S6" s="2127"/>
      <c r="T6" s="2127"/>
      <c r="U6" s="2127"/>
      <c r="V6" s="2127"/>
      <c r="W6" s="2127"/>
      <c r="X6" s="2127"/>
      <c r="Y6" s="2127"/>
      <c r="Z6" s="2127"/>
      <c r="AA6" s="2127"/>
      <c r="AB6" s="2127"/>
      <c r="AC6" s="2127"/>
      <c r="AD6" s="2127"/>
      <c r="AE6" s="2127"/>
      <c r="AF6" s="2127"/>
      <c r="AG6" s="2127"/>
      <c r="AH6" s="2127"/>
      <c r="AI6" s="2127"/>
      <c r="AJ6" s="2127"/>
      <c r="AK6" s="2127"/>
      <c r="AL6" s="2127"/>
      <c r="AM6" s="2127"/>
      <c r="AN6" s="2127"/>
      <c r="AO6" s="2127"/>
      <c r="AP6" s="2127"/>
      <c r="AQ6" s="2127"/>
      <c r="AR6" s="2127"/>
      <c r="AS6" s="2127"/>
      <c r="AT6" s="2127"/>
      <c r="AU6" s="2127"/>
      <c r="AV6" s="2127"/>
      <c r="AW6" s="2127"/>
      <c r="AX6" s="2127"/>
      <c r="AY6" s="2127"/>
      <c r="AZ6" s="2127"/>
      <c r="BA6" s="2127"/>
      <c r="BB6" s="2127"/>
      <c r="BC6" s="2127"/>
      <c r="BD6" s="2127"/>
      <c r="BE6" s="2127"/>
      <c r="BF6" s="2127"/>
      <c r="BG6" s="2127"/>
      <c r="BH6" s="2127"/>
      <c r="BI6" s="2127"/>
      <c r="BJ6" s="2127"/>
      <c r="BK6" s="2127"/>
      <c r="BL6" s="2127"/>
      <c r="BM6" s="2127"/>
      <c r="BN6" s="2127"/>
      <c r="BO6" s="2127"/>
      <c r="BP6" s="2127"/>
      <c r="BQ6" s="2127"/>
      <c r="BR6" s="2127"/>
      <c r="BS6" s="2127"/>
    </row>
    <row r="7" spans="2:180" s="1735" customFormat="1" ht="10.5" customHeight="1">
      <c r="B7" s="830"/>
      <c r="E7" s="831"/>
      <c r="F7" s="831"/>
      <c r="G7" s="833"/>
      <c r="H7" s="828"/>
      <c r="I7" s="828"/>
      <c r="J7" s="828"/>
      <c r="K7" s="828"/>
      <c r="L7" s="828"/>
      <c r="M7" s="831"/>
      <c r="N7" s="831"/>
      <c r="O7" s="831"/>
      <c r="P7" s="831"/>
      <c r="Q7" s="831"/>
      <c r="R7" s="831"/>
      <c r="S7" s="831"/>
      <c r="T7" s="831"/>
      <c r="U7" s="831"/>
      <c r="V7" s="831"/>
      <c r="W7" s="831"/>
      <c r="X7" s="831"/>
      <c r="Y7" s="831"/>
      <c r="Z7" s="831"/>
      <c r="AA7" s="831"/>
      <c r="AB7" s="831"/>
      <c r="AC7" s="831"/>
      <c r="AD7" s="831"/>
      <c r="AE7" s="831"/>
      <c r="AF7" s="831"/>
      <c r="AG7" s="831"/>
      <c r="AH7" s="831"/>
      <c r="AI7" s="831"/>
      <c r="AJ7" s="831"/>
      <c r="AK7" s="831"/>
      <c r="AL7" s="831"/>
      <c r="AM7" s="831"/>
      <c r="AN7" s="831"/>
      <c r="AO7" s="831"/>
      <c r="AP7" s="831"/>
      <c r="AQ7" s="831"/>
      <c r="AR7" s="831"/>
      <c r="AS7" s="831"/>
      <c r="AT7" s="831"/>
      <c r="AU7" s="831"/>
      <c r="AV7" s="831"/>
      <c r="AW7" s="831"/>
      <c r="AX7" s="831"/>
      <c r="AY7" s="831"/>
      <c r="AZ7" s="831"/>
      <c r="BA7" s="831"/>
      <c r="BB7" s="831"/>
      <c r="BC7" s="831"/>
      <c r="BD7" s="831"/>
      <c r="BE7" s="831"/>
      <c r="BF7" s="831"/>
      <c r="BG7" s="831"/>
      <c r="BH7" s="831"/>
      <c r="BI7" s="831"/>
      <c r="BJ7" s="831"/>
      <c r="BK7" s="831"/>
      <c r="BL7" s="831"/>
      <c r="BM7" s="831"/>
      <c r="BN7" s="831"/>
      <c r="BO7" s="831"/>
      <c r="BP7" s="831"/>
      <c r="BQ7" s="831"/>
      <c r="BR7" s="831"/>
      <c r="BS7" s="831"/>
      <c r="BT7" s="831"/>
      <c r="BU7" s="831"/>
      <c r="BV7" s="831"/>
      <c r="BW7" s="831"/>
      <c r="BX7" s="831"/>
      <c r="BY7" s="831"/>
      <c r="BZ7" s="831"/>
      <c r="CA7" s="831"/>
      <c r="CB7" s="831"/>
      <c r="CC7" s="831"/>
      <c r="CD7" s="831"/>
      <c r="CE7" s="831"/>
      <c r="CF7" s="831"/>
      <c r="CG7" s="831"/>
      <c r="CH7" s="831"/>
      <c r="CI7" s="831"/>
      <c r="CJ7" s="831"/>
      <c r="CK7" s="831"/>
      <c r="CL7" s="831"/>
      <c r="CM7" s="831"/>
      <c r="CN7" s="831"/>
      <c r="CO7" s="831"/>
      <c r="CP7" s="831"/>
      <c r="CQ7" s="831"/>
      <c r="CR7" s="831"/>
      <c r="CS7" s="831"/>
      <c r="CT7" s="831"/>
      <c r="CU7" s="831"/>
      <c r="CV7" s="831"/>
      <c r="CW7" s="831"/>
      <c r="CX7" s="831"/>
      <c r="CY7" s="831"/>
      <c r="CZ7" s="831"/>
      <c r="DA7" s="831"/>
      <c r="DB7" s="831"/>
      <c r="DC7" s="831"/>
      <c r="DD7" s="831"/>
      <c r="DE7" s="831"/>
      <c r="DF7" s="831"/>
      <c r="DG7" s="831"/>
      <c r="DH7" s="831"/>
      <c r="DI7" s="831"/>
      <c r="DJ7" s="831"/>
      <c r="DK7" s="831"/>
      <c r="DL7" s="831"/>
      <c r="DM7" s="831"/>
      <c r="DN7" s="831"/>
      <c r="DO7" s="831"/>
      <c r="DP7" s="831"/>
      <c r="DQ7" s="831"/>
      <c r="DR7" s="831"/>
      <c r="DS7" s="831"/>
      <c r="DT7" s="831"/>
      <c r="DU7" s="831"/>
      <c r="DV7" s="831"/>
      <c r="DW7" s="831"/>
      <c r="DX7" s="831"/>
      <c r="DY7" s="831"/>
      <c r="DZ7" s="831"/>
      <c r="EA7" s="831"/>
      <c r="EB7" s="831"/>
      <c r="EC7" s="831"/>
      <c r="ED7" s="831"/>
      <c r="EE7" s="831"/>
      <c r="EF7" s="831"/>
      <c r="EG7" s="831"/>
      <c r="EH7" s="831"/>
      <c r="EI7" s="831"/>
      <c r="EJ7" s="831"/>
      <c r="EK7" s="831"/>
      <c r="EL7" s="831"/>
      <c r="EM7" s="831"/>
      <c r="EN7" s="831"/>
      <c r="EO7" s="831"/>
      <c r="EP7" s="831"/>
      <c r="EQ7" s="831"/>
      <c r="ER7" s="831"/>
      <c r="ES7" s="831"/>
      <c r="ET7" s="831"/>
      <c r="EU7" s="831"/>
      <c r="EV7" s="831"/>
      <c r="EW7" s="831"/>
      <c r="EX7" s="831"/>
      <c r="EY7" s="831"/>
      <c r="EZ7" s="831"/>
      <c r="FA7" s="831"/>
      <c r="FB7" s="831"/>
      <c r="FC7" s="831"/>
      <c r="FD7" s="831"/>
      <c r="FE7" s="831"/>
      <c r="FF7" s="831"/>
      <c r="FG7" s="831"/>
      <c r="FH7" s="831"/>
      <c r="FI7" s="831"/>
      <c r="FJ7" s="831"/>
      <c r="FK7" s="831"/>
      <c r="FL7" s="831"/>
      <c r="FM7" s="831"/>
      <c r="FN7" s="831"/>
      <c r="FO7" s="831"/>
      <c r="FP7" s="831"/>
      <c r="FQ7" s="831"/>
      <c r="FR7" s="831"/>
      <c r="FS7" s="831"/>
      <c r="FT7" s="831"/>
      <c r="FU7" s="831"/>
      <c r="FV7" s="831"/>
      <c r="FW7" s="831"/>
    </row>
    <row r="8" spans="2:180" s="1735" customFormat="1" ht="11.25" hidden="1" customHeight="1">
      <c r="B8" s="832"/>
      <c r="F8" s="943"/>
      <c r="G8" s="674"/>
      <c r="H8" s="284"/>
      <c r="I8" s="284"/>
      <c r="J8" s="284"/>
      <c r="K8" s="284"/>
      <c r="L8" s="284"/>
      <c r="M8" s="943"/>
      <c r="N8" s="943"/>
      <c r="O8" s="2394" t="s">
        <v>2055</v>
      </c>
      <c r="P8" s="2395"/>
      <c r="Q8" s="2395"/>
      <c r="R8" s="2395"/>
      <c r="S8" s="2395"/>
      <c r="T8" s="2395"/>
      <c r="U8" s="2395"/>
      <c r="V8" s="2395"/>
      <c r="W8" s="2395"/>
      <c r="X8" s="2395"/>
      <c r="Y8" s="2395"/>
      <c r="Z8" s="2395"/>
      <c r="AA8" s="2395"/>
      <c r="AB8" s="2395"/>
      <c r="AC8" s="2395"/>
      <c r="AD8" s="2395"/>
      <c r="AE8" s="2395"/>
      <c r="AF8" s="2395"/>
      <c r="AG8" s="2395"/>
      <c r="AH8" s="2395"/>
      <c r="AI8" s="2395"/>
      <c r="AJ8" s="2395"/>
      <c r="AK8" s="2395"/>
      <c r="AL8" s="2395"/>
      <c r="AM8" s="2395"/>
      <c r="AN8" s="2395"/>
      <c r="AO8" s="2395"/>
      <c r="AP8" s="2395"/>
      <c r="AQ8" s="2395"/>
      <c r="AR8" s="2395"/>
      <c r="AS8" s="2395"/>
      <c r="AT8" s="2395"/>
      <c r="AU8" s="2395"/>
      <c r="AV8" s="2395"/>
      <c r="AW8" s="2395"/>
      <c r="AX8" s="2395"/>
      <c r="AY8" s="2395"/>
      <c r="AZ8" s="2395"/>
      <c r="BA8" s="2395"/>
      <c r="BB8" s="2395"/>
      <c r="BC8" s="2395"/>
      <c r="BD8" s="2395"/>
      <c r="BE8" s="2395"/>
      <c r="BF8" s="2395"/>
      <c r="BG8" s="2395"/>
      <c r="BH8" s="2395"/>
      <c r="BI8" s="2395"/>
      <c r="BJ8" s="2395"/>
      <c r="BK8" s="2395"/>
      <c r="BL8" s="2395"/>
      <c r="BM8" s="2395"/>
      <c r="BN8" s="2395"/>
      <c r="BO8" s="2395"/>
      <c r="BP8" s="2395"/>
      <c r="BQ8" s="2395"/>
      <c r="BR8" s="2395"/>
      <c r="BS8" s="2396"/>
      <c r="BT8" s="2397"/>
      <c r="BU8" s="2398"/>
      <c r="BV8" s="2398"/>
      <c r="BW8" s="2398"/>
      <c r="BX8" s="2398"/>
      <c r="BY8" s="2398"/>
      <c r="BZ8" s="2398"/>
      <c r="CA8" s="2398"/>
      <c r="CB8" s="2398"/>
      <c r="CC8" s="2398"/>
      <c r="CD8" s="2398"/>
      <c r="CE8" s="2398"/>
      <c r="CF8" s="2398"/>
      <c r="CG8" s="2398"/>
      <c r="CH8" s="2398"/>
      <c r="CI8" s="2398"/>
      <c r="CJ8" s="2398"/>
      <c r="CK8" s="2398"/>
      <c r="CL8" s="2398"/>
      <c r="CM8" s="2398"/>
      <c r="CN8" s="2398"/>
      <c r="CO8" s="2398"/>
      <c r="CP8" s="2398"/>
      <c r="CQ8" s="2398"/>
      <c r="CR8" s="2398"/>
      <c r="CS8" s="2398"/>
      <c r="CT8" s="2398"/>
      <c r="CU8" s="2398"/>
      <c r="CV8" s="2398"/>
      <c r="CW8" s="2398"/>
      <c r="CX8" s="2399"/>
      <c r="CY8" s="2400"/>
      <c r="CZ8" s="2401"/>
      <c r="DA8" s="2401"/>
      <c r="DB8" s="2401"/>
      <c r="DC8" s="2401"/>
      <c r="DD8" s="2401"/>
      <c r="DE8" s="2401"/>
      <c r="DF8" s="2401"/>
      <c r="DG8" s="2401"/>
      <c r="DH8" s="2401"/>
      <c r="DI8" s="2401"/>
      <c r="DJ8" s="2401"/>
      <c r="DK8" s="2401"/>
      <c r="DL8" s="2401"/>
      <c r="DM8" s="2401"/>
      <c r="DN8" s="2401"/>
      <c r="DO8" s="2401"/>
      <c r="DP8" s="2401"/>
      <c r="DQ8" s="2401"/>
      <c r="DR8" s="2401"/>
      <c r="DS8" s="2401"/>
      <c r="DT8" s="2401"/>
      <c r="DU8" s="2401"/>
      <c r="DV8" s="2401"/>
      <c r="DW8" s="2401"/>
      <c r="DX8" s="2402"/>
      <c r="DY8" s="2388" t="s">
        <v>2056</v>
      </c>
      <c r="DZ8" s="2389"/>
      <c r="EA8" s="2389"/>
      <c r="EB8" s="2389"/>
      <c r="EC8" s="2389"/>
      <c r="ED8" s="2389"/>
      <c r="EE8" s="2389"/>
      <c r="EF8" s="2389"/>
      <c r="EG8" s="2389"/>
      <c r="EH8" s="2389"/>
      <c r="EI8" s="2389"/>
      <c r="EJ8" s="2389"/>
      <c r="EK8" s="2389"/>
      <c r="EL8" s="2389"/>
      <c r="EM8" s="2389"/>
      <c r="EN8" s="2389"/>
      <c r="EO8" s="2389"/>
      <c r="EP8" s="2389"/>
      <c r="EQ8" s="2389"/>
      <c r="ER8" s="2389"/>
      <c r="ES8" s="2389"/>
      <c r="ET8" s="2389"/>
      <c r="EU8" s="2389"/>
      <c r="EV8" s="2389"/>
      <c r="EW8" s="2389"/>
      <c r="EX8" s="2389"/>
      <c r="EY8" s="2389"/>
      <c r="EZ8" s="2389"/>
      <c r="FA8" s="2389"/>
      <c r="FB8" s="2389"/>
      <c r="FC8" s="2389"/>
      <c r="FD8" s="2389"/>
      <c r="FE8" s="2389"/>
      <c r="FF8" s="2389"/>
      <c r="FG8" s="2389"/>
      <c r="FH8" s="2389"/>
      <c r="FI8" s="2389"/>
      <c r="FJ8" s="2389"/>
      <c r="FK8" s="2389"/>
      <c r="FL8" s="2389"/>
      <c r="FM8" s="2389"/>
      <c r="FN8" s="2389"/>
      <c r="FO8" s="2389"/>
      <c r="FP8" s="2389"/>
      <c r="FQ8" s="2389"/>
      <c r="FR8" s="2389"/>
      <c r="FS8" s="2389"/>
      <c r="FT8" s="2389"/>
      <c r="FU8" s="2389"/>
      <c r="FV8" s="2389"/>
      <c r="FW8" s="2390"/>
      <c r="FX8" s="943"/>
    </row>
    <row r="9" spans="2:180" s="1735" customFormat="1" ht="11.25" hidden="1" customHeight="1">
      <c r="B9" s="832"/>
      <c r="F9" s="943"/>
      <c r="G9" s="674"/>
      <c r="H9" s="284"/>
      <c r="I9" s="284"/>
      <c r="J9" s="284"/>
      <c r="K9" s="284"/>
      <c r="L9" s="284"/>
      <c r="M9" s="943"/>
      <c r="N9" s="943"/>
      <c r="O9" s="943"/>
      <c r="P9" s="943"/>
      <c r="Q9" s="943"/>
      <c r="R9" s="943"/>
      <c r="S9" s="943"/>
      <c r="T9" s="943"/>
      <c r="U9" s="943"/>
      <c r="V9" s="943"/>
      <c r="W9" s="943"/>
      <c r="X9" s="943"/>
      <c r="Y9" s="943"/>
      <c r="Z9" s="943"/>
      <c r="AA9" s="943"/>
      <c r="AB9" s="943"/>
      <c r="AC9" s="943"/>
      <c r="AD9" s="943"/>
      <c r="AE9" s="943"/>
      <c r="AF9" s="943"/>
      <c r="AG9" s="943"/>
      <c r="AH9" s="943"/>
      <c r="AI9" s="943"/>
      <c r="AJ9" s="943"/>
      <c r="AK9" s="943"/>
      <c r="AL9" s="943"/>
      <c r="AM9" s="943"/>
      <c r="AN9" s="943"/>
      <c r="AO9" s="943"/>
      <c r="AP9" s="943"/>
      <c r="AQ9" s="943"/>
      <c r="AR9" s="943"/>
      <c r="AS9" s="943"/>
      <c r="AT9" s="943"/>
      <c r="AU9" s="943"/>
      <c r="AV9" s="943"/>
      <c r="AW9" s="943"/>
      <c r="AX9" s="943"/>
      <c r="AY9" s="943"/>
      <c r="AZ9" s="943"/>
      <c r="BA9" s="943"/>
      <c r="BB9" s="943"/>
      <c r="BC9" s="943"/>
      <c r="BD9" s="943"/>
      <c r="BE9" s="943"/>
      <c r="BF9" s="943"/>
      <c r="BG9" s="943"/>
      <c r="BH9" s="943"/>
      <c r="BI9" s="943"/>
      <c r="BJ9" s="943"/>
      <c r="BK9" s="943"/>
      <c r="BL9" s="943"/>
      <c r="BM9" s="943"/>
      <c r="BN9" s="943"/>
      <c r="BO9" s="943"/>
      <c r="BP9" s="943"/>
      <c r="BQ9" s="943"/>
      <c r="BR9" s="943"/>
      <c r="BS9" s="943"/>
      <c r="BT9" s="943"/>
      <c r="BU9" s="943"/>
      <c r="BV9" s="943"/>
      <c r="BW9" s="943"/>
      <c r="BX9" s="943"/>
      <c r="BY9" s="943"/>
      <c r="BZ9" s="943"/>
      <c r="CA9" s="943"/>
      <c r="CB9" s="943"/>
      <c r="CC9" s="943"/>
      <c r="CD9" s="943"/>
      <c r="CE9" s="943"/>
      <c r="CF9" s="943"/>
      <c r="CG9" s="943"/>
      <c r="CH9" s="943"/>
      <c r="CI9" s="943"/>
      <c r="CJ9" s="943"/>
      <c r="CK9" s="943"/>
      <c r="CL9" s="943"/>
      <c r="CM9" s="943"/>
      <c r="CN9" s="943"/>
      <c r="CO9" s="943"/>
      <c r="CP9" s="943"/>
      <c r="CQ9" s="943"/>
      <c r="CR9" s="943"/>
      <c r="CS9" s="943"/>
      <c r="CT9" s="943"/>
      <c r="CU9" s="943"/>
      <c r="CV9" s="943"/>
      <c r="CW9" s="943"/>
      <c r="CX9" s="943"/>
      <c r="CY9" s="943"/>
      <c r="CZ9" s="943"/>
      <c r="DA9" s="943"/>
      <c r="DB9" s="943"/>
      <c r="DC9" s="943"/>
      <c r="DD9" s="943"/>
      <c r="DE9" s="943"/>
      <c r="DF9" s="943"/>
      <c r="DG9" s="943"/>
      <c r="DH9" s="943"/>
      <c r="DI9" s="943"/>
      <c r="DJ9" s="943"/>
      <c r="DK9" s="943"/>
      <c r="DL9" s="943"/>
      <c r="DM9" s="943"/>
      <c r="DN9" s="943"/>
      <c r="DO9" s="943"/>
      <c r="DP9" s="943"/>
      <c r="DQ9" s="943"/>
      <c r="DR9" s="943"/>
      <c r="DS9" s="943"/>
      <c r="DT9" s="943"/>
      <c r="DU9" s="943"/>
      <c r="DV9" s="943"/>
      <c r="DW9" s="943"/>
      <c r="DX9" s="943"/>
      <c r="DY9" s="943"/>
      <c r="DZ9" s="943"/>
      <c r="EA9" s="943"/>
      <c r="EB9" s="943"/>
      <c r="EC9" s="943"/>
      <c r="ED9" s="943"/>
      <c r="EE9" s="943"/>
      <c r="EF9" s="943"/>
      <c r="EG9" s="943"/>
      <c r="EH9" s="943"/>
      <c r="EI9" s="943"/>
      <c r="EJ9" s="943"/>
      <c r="EK9" s="943"/>
      <c r="EL9" s="943"/>
      <c r="EM9" s="943"/>
      <c r="EN9" s="943"/>
      <c r="EO9" s="943"/>
      <c r="EP9" s="943"/>
      <c r="EQ9" s="943"/>
      <c r="ER9" s="943"/>
      <c r="ES9" s="943"/>
      <c r="ET9" s="943"/>
      <c r="EU9" s="943"/>
      <c r="EV9" s="943"/>
      <c r="EW9" s="943"/>
      <c r="EX9" s="943"/>
      <c r="EY9" s="943"/>
      <c r="EZ9" s="943"/>
      <c r="FA9" s="943"/>
      <c r="FB9" s="943"/>
      <c r="FC9" s="943"/>
      <c r="FD9" s="943"/>
      <c r="FE9" s="943"/>
      <c r="FF9" s="943"/>
      <c r="FG9" s="943"/>
      <c r="FH9" s="943"/>
      <c r="FI9" s="943"/>
      <c r="FJ9" s="943"/>
      <c r="FK9" s="943"/>
      <c r="FL9" s="943"/>
      <c r="FM9" s="943"/>
      <c r="FN9" s="943"/>
      <c r="FO9" s="943"/>
      <c r="FP9" s="943"/>
      <c r="FQ9" s="943"/>
      <c r="FR9" s="943"/>
      <c r="FS9" s="943"/>
      <c r="FT9" s="943"/>
      <c r="FU9" s="943"/>
      <c r="FV9" s="943"/>
      <c r="FW9" s="2391"/>
      <c r="FX9" s="943"/>
    </row>
    <row r="10" spans="2:180" s="1735" customFormat="1" ht="11.25" customHeight="1">
      <c r="B10" s="832"/>
      <c r="F10" s="2357" t="s">
        <v>292</v>
      </c>
      <c r="G10" s="2404"/>
      <c r="H10" s="2404"/>
      <c r="I10" s="2404"/>
      <c r="J10" s="2404"/>
      <c r="K10" s="2404"/>
      <c r="L10" s="2404"/>
      <c r="M10" s="2404"/>
      <c r="N10" s="2404"/>
      <c r="O10" s="2404"/>
      <c r="P10" s="2404"/>
      <c r="Q10" s="2404"/>
      <c r="R10" s="2404"/>
      <c r="S10" s="2404"/>
      <c r="T10" s="2404"/>
      <c r="U10" s="2404"/>
      <c r="V10" s="2404"/>
      <c r="W10" s="2404"/>
      <c r="X10" s="2404"/>
      <c r="Y10" s="2404"/>
      <c r="Z10" s="2404"/>
      <c r="AA10" s="2404"/>
      <c r="AB10" s="2404"/>
      <c r="AC10" s="2404"/>
      <c r="AD10" s="2404"/>
      <c r="AE10" s="2404"/>
      <c r="AF10" s="2404"/>
      <c r="AG10" s="2404"/>
      <c r="AH10" s="2404"/>
      <c r="AI10" s="2404"/>
      <c r="AJ10" s="2404"/>
      <c r="AK10" s="2404"/>
      <c r="AL10" s="2404"/>
      <c r="AM10" s="2404"/>
      <c r="AN10" s="2404"/>
      <c r="AO10" s="2404"/>
      <c r="AP10" s="2404"/>
      <c r="AQ10" s="2404"/>
      <c r="AR10" s="2404"/>
      <c r="AS10" s="2404"/>
      <c r="AT10" s="2404"/>
      <c r="AU10" s="2404"/>
      <c r="AV10" s="2404"/>
      <c r="AW10" s="2404"/>
      <c r="AX10" s="2404"/>
      <c r="AY10" s="2404"/>
      <c r="AZ10" s="2404"/>
      <c r="BA10" s="2404"/>
      <c r="BB10" s="2404"/>
      <c r="BC10" s="2404"/>
      <c r="BD10" s="2404"/>
      <c r="BE10" s="2404"/>
      <c r="BF10" s="2404"/>
      <c r="BG10" s="2404"/>
      <c r="BH10" s="2404"/>
      <c r="BI10" s="2404"/>
      <c r="BJ10" s="2404"/>
      <c r="BK10" s="2404"/>
      <c r="BL10" s="2404"/>
      <c r="BM10" s="2404"/>
      <c r="BN10" s="2404"/>
      <c r="BO10" s="2404"/>
      <c r="BP10" s="2404"/>
      <c r="BQ10" s="2404"/>
      <c r="BR10" s="2404"/>
      <c r="BS10" s="2404"/>
      <c r="BT10" s="2404"/>
      <c r="BU10" s="2404"/>
      <c r="BV10" s="2404"/>
      <c r="BW10" s="2404"/>
      <c r="BX10" s="2404"/>
      <c r="BY10" s="2404"/>
      <c r="BZ10" s="2404"/>
      <c r="CA10" s="2404"/>
      <c r="CB10" s="2404"/>
      <c r="CC10" s="2404"/>
      <c r="CD10" s="2404"/>
      <c r="CE10" s="2404"/>
      <c r="CF10" s="2404"/>
      <c r="CG10" s="2404"/>
      <c r="CH10" s="2404"/>
      <c r="CI10" s="2404"/>
      <c r="CJ10" s="2404"/>
      <c r="CK10" s="2404"/>
      <c r="CL10" s="2404"/>
      <c r="CM10" s="2404"/>
      <c r="CN10" s="2404"/>
      <c r="CO10" s="2404"/>
      <c r="CP10" s="2404"/>
      <c r="CQ10" s="2404"/>
      <c r="CR10" s="2404"/>
      <c r="CS10" s="2404"/>
      <c r="CT10" s="2404"/>
      <c r="CU10" s="2404"/>
      <c r="CV10" s="2404"/>
      <c r="CW10" s="2404"/>
      <c r="CX10" s="2404"/>
      <c r="CY10" s="2404"/>
      <c r="CZ10" s="2404"/>
      <c r="DA10" s="2404"/>
      <c r="DB10" s="2404"/>
      <c r="DC10" s="2404"/>
      <c r="DD10" s="2404"/>
      <c r="DE10" s="2404"/>
      <c r="DF10" s="2404"/>
      <c r="DG10" s="2404"/>
      <c r="DH10" s="2404"/>
      <c r="DI10" s="2404"/>
      <c r="DJ10" s="2404"/>
      <c r="DK10" s="2404"/>
      <c r="DL10" s="2404"/>
      <c r="DM10" s="2404"/>
      <c r="DN10" s="2404"/>
      <c r="DO10" s="2404"/>
      <c r="DP10" s="2404"/>
      <c r="DQ10" s="2404"/>
      <c r="DR10" s="2404"/>
      <c r="DS10" s="2404"/>
      <c r="DT10" s="2404"/>
      <c r="DU10" s="2404"/>
      <c r="DV10" s="2404"/>
      <c r="DW10" s="2404"/>
      <c r="DX10" s="2404"/>
      <c r="DY10" s="2404"/>
      <c r="DZ10" s="2404"/>
      <c r="EA10" s="2404"/>
      <c r="EB10" s="2404"/>
      <c r="EC10" s="2404"/>
      <c r="ED10" s="2404"/>
      <c r="EE10" s="2404"/>
      <c r="EF10" s="2404"/>
      <c r="EG10" s="2404"/>
      <c r="EH10" s="2404"/>
      <c r="EI10" s="2404"/>
      <c r="EJ10" s="2404"/>
      <c r="EK10" s="2404"/>
      <c r="EL10" s="2404"/>
      <c r="EM10" s="2404"/>
      <c r="EN10" s="2404"/>
      <c r="EO10" s="2404"/>
      <c r="EP10" s="2404"/>
      <c r="EQ10" s="2404"/>
      <c r="ER10" s="2404"/>
      <c r="ES10" s="2404"/>
      <c r="ET10" s="2404"/>
      <c r="EU10" s="2404"/>
      <c r="EV10" s="2404"/>
      <c r="EW10" s="2404"/>
      <c r="EX10" s="2404"/>
      <c r="EY10" s="2404"/>
      <c r="EZ10" s="2404"/>
      <c r="FA10" s="2404"/>
      <c r="FB10" s="2404"/>
      <c r="FC10" s="2404"/>
      <c r="FD10" s="2404"/>
      <c r="FE10" s="2404"/>
      <c r="FF10" s="2404"/>
      <c r="FG10" s="2404"/>
      <c r="FH10" s="2404"/>
      <c r="FI10" s="2404"/>
      <c r="FJ10" s="2404"/>
      <c r="FK10" s="2404"/>
      <c r="FL10" s="2404"/>
      <c r="FM10" s="2404"/>
      <c r="FN10" s="2404"/>
      <c r="FO10" s="2404"/>
      <c r="FP10" s="2404"/>
      <c r="FQ10" s="2404"/>
      <c r="FR10" s="2404"/>
      <c r="FS10" s="2404"/>
      <c r="FT10" s="2404"/>
      <c r="FU10" s="2404"/>
      <c r="FV10" s="2160"/>
      <c r="FW10" s="2391"/>
      <c r="FX10" s="943"/>
    </row>
    <row r="11" spans="2:180" ht="12" customHeight="1">
      <c r="E11" s="834"/>
      <c r="F11" s="2281" t="s">
        <v>88</v>
      </c>
      <c r="G11" s="2281" t="s">
        <v>2057</v>
      </c>
      <c r="H11" s="2281" t="s">
        <v>2058</v>
      </c>
      <c r="I11" s="2281" t="s">
        <v>2059</v>
      </c>
      <c r="J11" s="2403"/>
      <c r="K11" s="2403"/>
      <c r="L11" s="2403"/>
      <c r="M11" s="2403"/>
      <c r="N11" s="2403"/>
      <c r="O11" s="2111" t="s">
        <v>2060</v>
      </c>
      <c r="P11" s="2111"/>
      <c r="Q11" s="2111"/>
      <c r="R11" s="2111"/>
      <c r="S11" s="2111"/>
      <c r="T11" s="2111"/>
      <c r="U11" s="2111"/>
      <c r="V11" s="2111"/>
      <c r="W11" s="2111"/>
      <c r="X11" s="2111"/>
      <c r="Y11" s="2111"/>
      <c r="Z11" s="2111"/>
      <c r="AA11" s="2111"/>
      <c r="AB11" s="2111"/>
      <c r="AC11" s="2386"/>
      <c r="AD11" s="2386"/>
      <c r="AE11" s="2386"/>
      <c r="AF11" s="2386"/>
      <c r="AG11" s="2386"/>
      <c r="AH11" s="2386"/>
      <c r="AI11" s="2386"/>
      <c r="AJ11" s="2386"/>
      <c r="AK11" s="2386"/>
      <c r="AL11" s="2386"/>
      <c r="AM11" s="2386"/>
      <c r="AN11" s="2386"/>
      <c r="AO11" s="2386"/>
      <c r="AP11" s="2386"/>
      <c r="AQ11" s="2386"/>
      <c r="AR11" s="2386"/>
      <c r="AS11" s="2386"/>
      <c r="AT11" s="2386"/>
      <c r="AU11" s="2386"/>
      <c r="AV11" s="2386"/>
      <c r="AW11" s="2386"/>
      <c r="AX11" s="2386"/>
      <c r="AY11" s="2386"/>
      <c r="AZ11" s="2386"/>
      <c r="BA11" s="2386"/>
      <c r="BB11" s="2386"/>
      <c r="BC11" s="2386"/>
      <c r="BD11" s="2386"/>
      <c r="BE11" s="2386"/>
      <c r="BF11" s="2386"/>
      <c r="BG11" s="2386"/>
      <c r="BH11" s="2386"/>
      <c r="BI11" s="2386"/>
      <c r="BJ11" s="2386"/>
      <c r="BK11" s="2386"/>
      <c r="BL11" s="2386"/>
      <c r="BM11" s="2386"/>
      <c r="BN11" s="2386"/>
      <c r="BO11" s="2386"/>
      <c r="BP11" s="2386"/>
      <c r="BQ11" s="2386"/>
      <c r="BR11" s="2386"/>
      <c r="BS11" s="2387"/>
      <c r="BT11" s="2316" t="s">
        <v>2060</v>
      </c>
      <c r="BU11" s="2317"/>
      <c r="BV11" s="2317"/>
      <c r="BW11" s="2317"/>
      <c r="BX11" s="2317"/>
      <c r="BY11" s="2317"/>
      <c r="BZ11" s="2317"/>
      <c r="CA11" s="2317"/>
      <c r="CB11" s="2317"/>
      <c r="CC11" s="2317"/>
      <c r="CD11" s="2317"/>
      <c r="CE11" s="2317"/>
      <c r="CF11" s="2317"/>
      <c r="CG11" s="2317"/>
      <c r="CH11" s="2317"/>
      <c r="CI11" s="2317"/>
      <c r="CJ11" s="2317"/>
      <c r="CK11" s="2318"/>
      <c r="CL11" s="2393"/>
      <c r="CM11" s="2386"/>
      <c r="CN11" s="2386"/>
      <c r="CO11" s="2386"/>
      <c r="CP11" s="2386"/>
      <c r="CQ11" s="2386"/>
      <c r="CR11" s="2386"/>
      <c r="CS11" s="2386"/>
      <c r="CT11" s="2386"/>
      <c r="CU11" s="2386"/>
      <c r="CV11" s="2386"/>
      <c r="CW11" s="2386"/>
      <c r="CX11" s="2387"/>
      <c r="CY11" s="2316" t="s">
        <v>2060</v>
      </c>
      <c r="CZ11" s="2317"/>
      <c r="DA11" s="2317"/>
      <c r="DB11" s="2317"/>
      <c r="DC11" s="2317"/>
      <c r="DD11" s="2317"/>
      <c r="DE11" s="2317"/>
      <c r="DF11" s="2317"/>
      <c r="DG11" s="2317"/>
      <c r="DH11" s="2317"/>
      <c r="DI11" s="2317"/>
      <c r="DJ11" s="2318"/>
      <c r="DK11" s="2393"/>
      <c r="DL11" s="2386"/>
      <c r="DM11" s="2386"/>
      <c r="DN11" s="2386"/>
      <c r="DO11" s="2386"/>
      <c r="DP11" s="2386"/>
      <c r="DQ11" s="2386"/>
      <c r="DR11" s="2386"/>
      <c r="DS11" s="2386"/>
      <c r="DT11" s="2386"/>
      <c r="DU11" s="2386"/>
      <c r="DV11" s="2386"/>
      <c r="DW11" s="2386"/>
      <c r="DX11" s="2386"/>
      <c r="DY11" s="2386"/>
      <c r="DZ11" s="2386"/>
      <c r="EA11" s="2386"/>
      <c r="EB11" s="2386"/>
      <c r="EC11" s="2386"/>
      <c r="ED11" s="2386"/>
      <c r="EE11" s="2386"/>
      <c r="EF11" s="2386"/>
      <c r="EG11" s="2386"/>
      <c r="EH11" s="2386"/>
      <c r="EI11" s="2386"/>
      <c r="EJ11" s="2386"/>
      <c r="EK11" s="2386"/>
      <c r="EL11" s="2386"/>
      <c r="EM11" s="2386"/>
      <c r="EN11" s="2386"/>
      <c r="EO11" s="2386"/>
      <c r="EP11" s="2386"/>
      <c r="EQ11" s="2386"/>
      <c r="ER11" s="2386"/>
      <c r="ES11" s="2386"/>
      <c r="ET11" s="2386"/>
      <c r="EU11" s="2386"/>
      <c r="EV11" s="2386"/>
      <c r="EW11" s="2386"/>
      <c r="EX11" s="2386"/>
      <c r="EY11" s="2386"/>
      <c r="EZ11" s="2386"/>
      <c r="FA11" s="2386"/>
      <c r="FB11" s="2386"/>
      <c r="FC11" s="2386"/>
      <c r="FD11" s="2386"/>
      <c r="FE11" s="2386"/>
      <c r="FF11" s="2386"/>
      <c r="FG11" s="2386"/>
      <c r="FH11" s="2386"/>
      <c r="FI11" s="2386"/>
      <c r="FJ11" s="2386"/>
      <c r="FK11" s="2386"/>
      <c r="FL11" s="2386"/>
      <c r="FM11" s="2386"/>
      <c r="FN11" s="2386"/>
      <c r="FO11" s="2386"/>
      <c r="FP11" s="2386"/>
      <c r="FQ11" s="2386"/>
      <c r="FR11" s="2386"/>
      <c r="FS11" s="2386"/>
      <c r="FT11" s="2386"/>
      <c r="FU11" s="2386"/>
      <c r="FV11" s="2386"/>
      <c r="FW11" s="2391"/>
      <c r="FX11" s="673"/>
    </row>
    <row r="12" spans="2:180" ht="12" customHeight="1">
      <c r="D12" s="835"/>
      <c r="E12" s="834"/>
      <c r="F12" s="2281"/>
      <c r="G12" s="2281"/>
      <c r="H12" s="2281"/>
      <c r="I12" s="2281"/>
      <c r="J12" s="2403"/>
      <c r="K12" s="2403"/>
      <c r="L12" s="2403"/>
      <c r="M12" s="2403"/>
      <c r="N12" s="2403"/>
      <c r="O12" s="2111" t="s">
        <v>2061</v>
      </c>
      <c r="P12" s="2111"/>
      <c r="Q12" s="2111"/>
      <c r="R12" s="2111"/>
      <c r="S12" s="2111" t="s">
        <v>2062</v>
      </c>
      <c r="T12" s="2111"/>
      <c r="U12" s="2111"/>
      <c r="V12" s="2111"/>
      <c r="W12" s="2111"/>
      <c r="X12" s="2111"/>
      <c r="Y12" s="2111"/>
      <c r="Z12" s="2111"/>
      <c r="AA12" s="2111"/>
      <c r="AB12" s="2111"/>
      <c r="AC12" s="2386"/>
      <c r="AD12" s="2386"/>
      <c r="AE12" s="2386"/>
      <c r="AF12" s="2386"/>
      <c r="AG12" s="2386"/>
      <c r="AH12" s="2386"/>
      <c r="AI12" s="2386"/>
      <c r="AJ12" s="2386"/>
      <c r="AK12" s="2386"/>
      <c r="AL12" s="2386"/>
      <c r="AM12" s="2386"/>
      <c r="AN12" s="2386"/>
      <c r="AO12" s="2386"/>
      <c r="AP12" s="2386"/>
      <c r="AQ12" s="2386"/>
      <c r="AR12" s="2386"/>
      <c r="AS12" s="2386"/>
      <c r="AT12" s="2386"/>
      <c r="AU12" s="2386"/>
      <c r="AV12" s="2386"/>
      <c r="AW12" s="2386"/>
      <c r="AX12" s="2386"/>
      <c r="AY12" s="2386"/>
      <c r="AZ12" s="2386"/>
      <c r="BA12" s="2386"/>
      <c r="BB12" s="2386"/>
      <c r="BC12" s="2386"/>
      <c r="BD12" s="2386"/>
      <c r="BE12" s="2386"/>
      <c r="BF12" s="2386"/>
      <c r="BG12" s="2386"/>
      <c r="BH12" s="2386"/>
      <c r="BI12" s="2386"/>
      <c r="BJ12" s="2386"/>
      <c r="BK12" s="2386"/>
      <c r="BL12" s="2386"/>
      <c r="BM12" s="2386"/>
      <c r="BN12" s="2386"/>
      <c r="BO12" s="2386"/>
      <c r="BP12" s="2386"/>
      <c r="BQ12" s="2386"/>
      <c r="BR12" s="2386"/>
      <c r="BS12" s="2387"/>
      <c r="BT12" s="2316" t="s">
        <v>2063</v>
      </c>
      <c r="BU12" s="2317"/>
      <c r="BV12" s="2317"/>
      <c r="BW12" s="2318"/>
      <c r="BX12" s="2316" t="s">
        <v>2064</v>
      </c>
      <c r="BY12" s="2317"/>
      <c r="BZ12" s="2317"/>
      <c r="CA12" s="2318"/>
      <c r="CB12" s="2316" t="s">
        <v>2065</v>
      </c>
      <c r="CC12" s="2318"/>
      <c r="CD12" s="2316" t="s">
        <v>2066</v>
      </c>
      <c r="CE12" s="2317"/>
      <c r="CF12" s="2317"/>
      <c r="CG12" s="2317"/>
      <c r="CH12" s="2317"/>
      <c r="CI12" s="2317"/>
      <c r="CJ12" s="2317"/>
      <c r="CK12" s="2318"/>
      <c r="CL12" s="2393"/>
      <c r="CM12" s="2386"/>
      <c r="CN12" s="2386"/>
      <c r="CO12" s="2386"/>
      <c r="CP12" s="2386"/>
      <c r="CQ12" s="2386"/>
      <c r="CR12" s="2386"/>
      <c r="CS12" s="2386"/>
      <c r="CT12" s="2386"/>
      <c r="CU12" s="2386"/>
      <c r="CV12" s="2386"/>
      <c r="CW12" s="2386"/>
      <c r="CX12" s="2387"/>
      <c r="CY12" s="2316" t="s">
        <v>2067</v>
      </c>
      <c r="CZ12" s="2317"/>
      <c r="DA12" s="2317"/>
      <c r="DB12" s="2317"/>
      <c r="DC12" s="2317"/>
      <c r="DD12" s="2318"/>
      <c r="DE12" s="2316" t="s">
        <v>2068</v>
      </c>
      <c r="DF12" s="2318"/>
      <c r="DG12" s="2316" t="s">
        <v>2066</v>
      </c>
      <c r="DH12" s="2317"/>
      <c r="DI12" s="2317"/>
      <c r="DJ12" s="2318"/>
      <c r="DK12" s="2393"/>
      <c r="DL12" s="2386"/>
      <c r="DM12" s="2386"/>
      <c r="DN12" s="2386"/>
      <c r="DO12" s="2386"/>
      <c r="DP12" s="2386"/>
      <c r="DQ12" s="2386"/>
      <c r="DR12" s="2386"/>
      <c r="DS12" s="2386"/>
      <c r="DT12" s="2386"/>
      <c r="DU12" s="2386"/>
      <c r="DV12" s="2386"/>
      <c r="DW12" s="2386"/>
      <c r="DX12" s="2386"/>
      <c r="DY12" s="2386"/>
      <c r="DZ12" s="2386"/>
      <c r="EA12" s="2386"/>
      <c r="EB12" s="2386"/>
      <c r="EC12" s="2386"/>
      <c r="ED12" s="2386"/>
      <c r="EE12" s="2386"/>
      <c r="EF12" s="2386"/>
      <c r="EG12" s="2386"/>
      <c r="EH12" s="2386"/>
      <c r="EI12" s="2386"/>
      <c r="EJ12" s="2386"/>
      <c r="EK12" s="2386"/>
      <c r="EL12" s="2386"/>
      <c r="EM12" s="2386"/>
      <c r="EN12" s="2386"/>
      <c r="EO12" s="2386"/>
      <c r="EP12" s="2386"/>
      <c r="EQ12" s="2386"/>
      <c r="ER12" s="2386"/>
      <c r="ES12" s="2386"/>
      <c r="ET12" s="2386"/>
      <c r="EU12" s="2386"/>
      <c r="EV12" s="2386"/>
      <c r="EW12" s="2386"/>
      <c r="EX12" s="2386"/>
      <c r="EY12" s="2386"/>
      <c r="EZ12" s="2386"/>
      <c r="FA12" s="2386"/>
      <c r="FB12" s="2386"/>
      <c r="FC12" s="2386"/>
      <c r="FD12" s="2386"/>
      <c r="FE12" s="2386"/>
      <c r="FF12" s="2386"/>
      <c r="FG12" s="2386"/>
      <c r="FH12" s="2386"/>
      <c r="FI12" s="2386"/>
      <c r="FJ12" s="2386"/>
      <c r="FK12" s="2386"/>
      <c r="FL12" s="2386"/>
      <c r="FM12" s="2386"/>
      <c r="FN12" s="2386"/>
      <c r="FO12" s="2386"/>
      <c r="FP12" s="2386"/>
      <c r="FQ12" s="2386"/>
      <c r="FR12" s="2386"/>
      <c r="FS12" s="2386"/>
      <c r="FT12" s="2386"/>
      <c r="FU12" s="2386"/>
      <c r="FV12" s="2386"/>
      <c r="FW12" s="2391"/>
      <c r="FX12" s="673"/>
    </row>
    <row r="13" spans="2:180" ht="36" customHeight="1">
      <c r="D13" s="835"/>
      <c r="E13" s="834"/>
      <c r="F13" s="2281"/>
      <c r="G13" s="2281"/>
      <c r="H13" s="2281"/>
      <c r="I13" s="2281"/>
      <c r="J13" s="2403"/>
      <c r="K13" s="2403"/>
      <c r="L13" s="2403"/>
      <c r="M13" s="2403"/>
      <c r="N13" s="2403"/>
      <c r="O13" s="2111" t="s">
        <v>2069</v>
      </c>
      <c r="P13" s="2111"/>
      <c r="Q13" s="2111"/>
      <c r="R13" s="2111"/>
      <c r="S13" s="2363" t="s">
        <v>2070</v>
      </c>
      <c r="T13" s="2364"/>
      <c r="U13" s="2021" t="s">
        <v>2071</v>
      </c>
      <c r="V13" s="2021"/>
      <c r="W13" s="2021"/>
      <c r="X13" s="2021"/>
      <c r="Y13" s="2021" t="s">
        <v>2072</v>
      </c>
      <c r="Z13" s="2021"/>
      <c r="AA13" s="2021"/>
      <c r="AB13" s="2021"/>
      <c r="AC13" s="2386"/>
      <c r="AD13" s="2386"/>
      <c r="AE13" s="2386"/>
      <c r="AF13" s="2386"/>
      <c r="AG13" s="2386"/>
      <c r="AH13" s="2386"/>
      <c r="AI13" s="2386"/>
      <c r="AJ13" s="2386"/>
      <c r="AK13" s="2386"/>
      <c r="AL13" s="2386"/>
      <c r="AM13" s="2386"/>
      <c r="AN13" s="2386"/>
      <c r="AO13" s="2386"/>
      <c r="AP13" s="2386"/>
      <c r="AQ13" s="2386"/>
      <c r="AR13" s="2386"/>
      <c r="AS13" s="2386"/>
      <c r="AT13" s="2386"/>
      <c r="AU13" s="2386"/>
      <c r="AV13" s="2386"/>
      <c r="AW13" s="2386"/>
      <c r="AX13" s="2386"/>
      <c r="AY13" s="2386"/>
      <c r="AZ13" s="2386"/>
      <c r="BA13" s="2386"/>
      <c r="BB13" s="2386"/>
      <c r="BC13" s="2386"/>
      <c r="BD13" s="2386"/>
      <c r="BE13" s="2386"/>
      <c r="BF13" s="2386"/>
      <c r="BG13" s="2386"/>
      <c r="BH13" s="2386"/>
      <c r="BI13" s="2386"/>
      <c r="BJ13" s="2386"/>
      <c r="BK13" s="2386"/>
      <c r="BL13" s="2386"/>
      <c r="BM13" s="2386"/>
      <c r="BN13" s="2386"/>
      <c r="BO13" s="2386"/>
      <c r="BP13" s="2386"/>
      <c r="BQ13" s="2386"/>
      <c r="BR13" s="2386"/>
      <c r="BS13" s="2387"/>
      <c r="BT13" s="2363" t="s">
        <v>2073</v>
      </c>
      <c r="BU13" s="2364"/>
      <c r="BV13" s="2363" t="s">
        <v>2074</v>
      </c>
      <c r="BW13" s="2364"/>
      <c r="BX13" s="2363" t="s">
        <v>2075</v>
      </c>
      <c r="BY13" s="2364"/>
      <c r="BZ13" s="2363" t="s">
        <v>2076</v>
      </c>
      <c r="CA13" s="2364"/>
      <c r="CB13" s="2363" t="s">
        <v>2077</v>
      </c>
      <c r="CC13" s="2364"/>
      <c r="CD13" s="2363" t="s">
        <v>2078</v>
      </c>
      <c r="CE13" s="2364"/>
      <c r="CF13" s="2363" t="s">
        <v>2079</v>
      </c>
      <c r="CG13" s="2364"/>
      <c r="CH13" s="2316" t="s">
        <v>2080</v>
      </c>
      <c r="CI13" s="2317"/>
      <c r="CJ13" s="2317"/>
      <c r="CK13" s="2318"/>
      <c r="CL13" s="2393"/>
      <c r="CM13" s="2386"/>
      <c r="CN13" s="2386"/>
      <c r="CO13" s="2386"/>
      <c r="CP13" s="2386"/>
      <c r="CQ13" s="2386"/>
      <c r="CR13" s="2386"/>
      <c r="CS13" s="2386"/>
      <c r="CT13" s="2386"/>
      <c r="CU13" s="2386"/>
      <c r="CV13" s="2386"/>
      <c r="CW13" s="2386"/>
      <c r="CX13" s="2387"/>
      <c r="CY13" s="2363" t="s">
        <v>2081</v>
      </c>
      <c r="CZ13" s="2364"/>
      <c r="DA13" s="2363" t="s">
        <v>2082</v>
      </c>
      <c r="DB13" s="2364"/>
      <c r="DC13" s="2363" t="s">
        <v>2083</v>
      </c>
      <c r="DD13" s="2364"/>
      <c r="DE13" s="2363" t="s">
        <v>2084</v>
      </c>
      <c r="DF13" s="2364"/>
      <c r="DG13" s="2316" t="s">
        <v>2085</v>
      </c>
      <c r="DH13" s="2317"/>
      <c r="DI13" s="2317"/>
      <c r="DJ13" s="2318"/>
      <c r="DK13" s="2393"/>
      <c r="DL13" s="2386"/>
      <c r="DM13" s="2386"/>
      <c r="DN13" s="2386"/>
      <c r="DO13" s="2386"/>
      <c r="DP13" s="2386"/>
      <c r="DQ13" s="2386"/>
      <c r="DR13" s="2386"/>
      <c r="DS13" s="2386"/>
      <c r="DT13" s="2386"/>
      <c r="DU13" s="2386"/>
      <c r="DV13" s="2386"/>
      <c r="DW13" s="2386"/>
      <c r="DX13" s="2386"/>
      <c r="DY13" s="2386"/>
      <c r="DZ13" s="2386"/>
      <c r="EA13" s="2386"/>
      <c r="EB13" s="2386"/>
      <c r="EC13" s="2386"/>
      <c r="ED13" s="2386"/>
      <c r="EE13" s="2386"/>
      <c r="EF13" s="2386"/>
      <c r="EG13" s="2386"/>
      <c r="EH13" s="2386"/>
      <c r="EI13" s="2386"/>
      <c r="EJ13" s="2386"/>
      <c r="EK13" s="2386"/>
      <c r="EL13" s="2386"/>
      <c r="EM13" s="2386"/>
      <c r="EN13" s="2386"/>
      <c r="EO13" s="2386"/>
      <c r="EP13" s="2386"/>
      <c r="EQ13" s="2386"/>
      <c r="ER13" s="2386"/>
      <c r="ES13" s="2386"/>
      <c r="ET13" s="2386"/>
      <c r="EU13" s="2386"/>
      <c r="EV13" s="2386"/>
      <c r="EW13" s="2386"/>
      <c r="EX13" s="2386"/>
      <c r="EY13" s="2386"/>
      <c r="EZ13" s="2386"/>
      <c r="FA13" s="2386"/>
      <c r="FB13" s="2386"/>
      <c r="FC13" s="2386"/>
      <c r="FD13" s="2386"/>
      <c r="FE13" s="2386"/>
      <c r="FF13" s="2386"/>
      <c r="FG13" s="2386"/>
      <c r="FH13" s="2386"/>
      <c r="FI13" s="2386"/>
      <c r="FJ13" s="2386"/>
      <c r="FK13" s="2386"/>
      <c r="FL13" s="2386"/>
      <c r="FM13" s="2386"/>
      <c r="FN13" s="2386"/>
      <c r="FO13" s="2386"/>
      <c r="FP13" s="2386"/>
      <c r="FQ13" s="2386"/>
      <c r="FR13" s="2386"/>
      <c r="FS13" s="2386"/>
      <c r="FT13" s="2386"/>
      <c r="FU13" s="2386"/>
      <c r="FV13" s="2386"/>
      <c r="FW13" s="2391"/>
      <c r="FX13" s="673"/>
    </row>
    <row r="14" spans="2:180" ht="36" customHeight="1">
      <c r="D14" s="835"/>
      <c r="E14" s="834"/>
      <c r="F14" s="2281"/>
      <c r="G14" s="2281"/>
      <c r="H14" s="2281"/>
      <c r="I14" s="2281"/>
      <c r="J14" s="2403"/>
      <c r="K14" s="2403"/>
      <c r="L14" s="2403"/>
      <c r="M14" s="2403"/>
      <c r="N14" s="2403"/>
      <c r="O14" s="2363" t="s">
        <v>2086</v>
      </c>
      <c r="P14" s="2364"/>
      <c r="Q14" s="2363" t="s">
        <v>2087</v>
      </c>
      <c r="R14" s="2364"/>
      <c r="S14" s="2365"/>
      <c r="T14" s="2112"/>
      <c r="U14" s="2363" t="s">
        <v>1868</v>
      </c>
      <c r="V14" s="2364"/>
      <c r="W14" s="2363" t="s">
        <v>1871</v>
      </c>
      <c r="X14" s="2364"/>
      <c r="Y14" s="2363" t="s">
        <v>1868</v>
      </c>
      <c r="Z14" s="2364"/>
      <c r="AA14" s="2363" t="s">
        <v>1878</v>
      </c>
      <c r="AB14" s="2364"/>
      <c r="AC14" s="2386"/>
      <c r="AD14" s="2386"/>
      <c r="AE14" s="2386"/>
      <c r="AF14" s="2386"/>
      <c r="AG14" s="2386"/>
      <c r="AH14" s="2386"/>
      <c r="AI14" s="2386"/>
      <c r="AJ14" s="2386"/>
      <c r="AK14" s="2386"/>
      <c r="AL14" s="2386"/>
      <c r="AM14" s="2386"/>
      <c r="AN14" s="2386"/>
      <c r="AO14" s="2386"/>
      <c r="AP14" s="2386"/>
      <c r="AQ14" s="2386"/>
      <c r="AR14" s="2386"/>
      <c r="AS14" s="2386"/>
      <c r="AT14" s="2386"/>
      <c r="AU14" s="2386"/>
      <c r="AV14" s="2386"/>
      <c r="AW14" s="2386"/>
      <c r="AX14" s="2386"/>
      <c r="AY14" s="2386"/>
      <c r="AZ14" s="2386"/>
      <c r="BA14" s="2386"/>
      <c r="BB14" s="2386"/>
      <c r="BC14" s="2386"/>
      <c r="BD14" s="2386"/>
      <c r="BE14" s="2386"/>
      <c r="BF14" s="2386"/>
      <c r="BG14" s="2386"/>
      <c r="BH14" s="2386"/>
      <c r="BI14" s="2386"/>
      <c r="BJ14" s="2386"/>
      <c r="BK14" s="2386"/>
      <c r="BL14" s="2386"/>
      <c r="BM14" s="2386"/>
      <c r="BN14" s="2386"/>
      <c r="BO14" s="2386"/>
      <c r="BP14" s="2386"/>
      <c r="BQ14" s="2386"/>
      <c r="BR14" s="2386"/>
      <c r="BS14" s="2387"/>
      <c r="BT14" s="2365"/>
      <c r="BU14" s="2112"/>
      <c r="BV14" s="2365"/>
      <c r="BW14" s="2112"/>
      <c r="BX14" s="2365"/>
      <c r="BY14" s="2112"/>
      <c r="BZ14" s="2365"/>
      <c r="CA14" s="2112"/>
      <c r="CB14" s="2365"/>
      <c r="CC14" s="2112"/>
      <c r="CD14" s="2365"/>
      <c r="CE14" s="2112"/>
      <c r="CF14" s="2365"/>
      <c r="CG14" s="2112"/>
      <c r="CH14" s="2363" t="s">
        <v>2088</v>
      </c>
      <c r="CI14" s="2364"/>
      <c r="CJ14" s="2363" t="s">
        <v>2089</v>
      </c>
      <c r="CK14" s="2364"/>
      <c r="CL14" s="2393"/>
      <c r="CM14" s="2386"/>
      <c r="CN14" s="2386"/>
      <c r="CO14" s="2386"/>
      <c r="CP14" s="2386"/>
      <c r="CQ14" s="2386"/>
      <c r="CR14" s="2386"/>
      <c r="CS14" s="2386"/>
      <c r="CT14" s="2386"/>
      <c r="CU14" s="2386"/>
      <c r="CV14" s="2386"/>
      <c r="CW14" s="2386"/>
      <c r="CX14" s="2387"/>
      <c r="CY14" s="2365"/>
      <c r="CZ14" s="2112"/>
      <c r="DA14" s="2365"/>
      <c r="DB14" s="2112"/>
      <c r="DC14" s="2365"/>
      <c r="DD14" s="2112"/>
      <c r="DE14" s="2365"/>
      <c r="DF14" s="2112"/>
      <c r="DG14" s="2363" t="s">
        <v>2090</v>
      </c>
      <c r="DH14" s="2364"/>
      <c r="DI14" s="2363" t="s">
        <v>2091</v>
      </c>
      <c r="DJ14" s="2364"/>
      <c r="DK14" s="2393"/>
      <c r="DL14" s="2386"/>
      <c r="DM14" s="2386"/>
      <c r="DN14" s="2386"/>
      <c r="DO14" s="2386"/>
      <c r="DP14" s="2386"/>
      <c r="DQ14" s="2386"/>
      <c r="DR14" s="2386"/>
      <c r="DS14" s="2386"/>
      <c r="DT14" s="2386"/>
      <c r="DU14" s="2386"/>
      <c r="DV14" s="2386"/>
      <c r="DW14" s="2386"/>
      <c r="DX14" s="2386"/>
      <c r="DY14" s="2386"/>
      <c r="DZ14" s="2386"/>
      <c r="EA14" s="2386"/>
      <c r="EB14" s="2386"/>
      <c r="EC14" s="2386"/>
      <c r="ED14" s="2386"/>
      <c r="EE14" s="2386"/>
      <c r="EF14" s="2386"/>
      <c r="EG14" s="2386"/>
      <c r="EH14" s="2386"/>
      <c r="EI14" s="2386"/>
      <c r="EJ14" s="2386"/>
      <c r="EK14" s="2386"/>
      <c r="EL14" s="2386"/>
      <c r="EM14" s="2386"/>
      <c r="EN14" s="2386"/>
      <c r="EO14" s="2386"/>
      <c r="EP14" s="2386"/>
      <c r="EQ14" s="2386"/>
      <c r="ER14" s="2386"/>
      <c r="ES14" s="2386"/>
      <c r="ET14" s="2386"/>
      <c r="EU14" s="2386"/>
      <c r="EV14" s="2386"/>
      <c r="EW14" s="2386"/>
      <c r="EX14" s="2386"/>
      <c r="EY14" s="2386"/>
      <c r="EZ14" s="2386"/>
      <c r="FA14" s="2386"/>
      <c r="FB14" s="2386"/>
      <c r="FC14" s="2386"/>
      <c r="FD14" s="2386"/>
      <c r="FE14" s="2386"/>
      <c r="FF14" s="2386"/>
      <c r="FG14" s="2386"/>
      <c r="FH14" s="2386"/>
      <c r="FI14" s="2386"/>
      <c r="FJ14" s="2386"/>
      <c r="FK14" s="2386"/>
      <c r="FL14" s="2386"/>
      <c r="FM14" s="2386"/>
      <c r="FN14" s="2386"/>
      <c r="FO14" s="2386"/>
      <c r="FP14" s="2386"/>
      <c r="FQ14" s="2386"/>
      <c r="FR14" s="2386"/>
      <c r="FS14" s="2386"/>
      <c r="FT14" s="2386"/>
      <c r="FU14" s="2386"/>
      <c r="FV14" s="2386"/>
      <c r="FW14" s="2391"/>
      <c r="FX14" s="673"/>
    </row>
    <row r="15" spans="2:180" ht="36" customHeight="1">
      <c r="D15" s="835"/>
      <c r="E15" s="834"/>
      <c r="F15" s="2281"/>
      <c r="G15" s="2281"/>
      <c r="H15" s="2281"/>
      <c r="I15" s="2281"/>
      <c r="J15" s="2403"/>
      <c r="K15" s="2403"/>
      <c r="L15" s="2403"/>
      <c r="M15" s="2403"/>
      <c r="N15" s="2403"/>
      <c r="O15" s="2366"/>
      <c r="P15" s="2367"/>
      <c r="Q15" s="2366"/>
      <c r="R15" s="2367"/>
      <c r="S15" s="2366"/>
      <c r="T15" s="2367"/>
      <c r="U15" s="2366"/>
      <c r="V15" s="2367"/>
      <c r="W15" s="2366"/>
      <c r="X15" s="2367"/>
      <c r="Y15" s="2366"/>
      <c r="Z15" s="2367"/>
      <c r="AA15" s="2366"/>
      <c r="AB15" s="2367"/>
      <c r="AC15" s="2386"/>
      <c r="AD15" s="2386"/>
      <c r="AE15" s="2386"/>
      <c r="AF15" s="2386"/>
      <c r="AG15" s="2386"/>
      <c r="AH15" s="2386"/>
      <c r="AI15" s="2386"/>
      <c r="AJ15" s="2386"/>
      <c r="AK15" s="2386"/>
      <c r="AL15" s="2386"/>
      <c r="AM15" s="2386"/>
      <c r="AN15" s="2386"/>
      <c r="AO15" s="2386"/>
      <c r="AP15" s="2386"/>
      <c r="AQ15" s="2386"/>
      <c r="AR15" s="2386"/>
      <c r="AS15" s="2386"/>
      <c r="AT15" s="2386"/>
      <c r="AU15" s="2386"/>
      <c r="AV15" s="2386"/>
      <c r="AW15" s="2386"/>
      <c r="AX15" s="2386"/>
      <c r="AY15" s="2386"/>
      <c r="AZ15" s="2386"/>
      <c r="BA15" s="2386"/>
      <c r="BB15" s="2386"/>
      <c r="BC15" s="2386"/>
      <c r="BD15" s="2386"/>
      <c r="BE15" s="2386"/>
      <c r="BF15" s="2386"/>
      <c r="BG15" s="2386"/>
      <c r="BH15" s="2386"/>
      <c r="BI15" s="2386"/>
      <c r="BJ15" s="2386"/>
      <c r="BK15" s="2386"/>
      <c r="BL15" s="2386"/>
      <c r="BM15" s="2386"/>
      <c r="BN15" s="2386"/>
      <c r="BO15" s="2386"/>
      <c r="BP15" s="2386"/>
      <c r="BQ15" s="2386"/>
      <c r="BR15" s="2386"/>
      <c r="BS15" s="2387"/>
      <c r="BT15" s="2366"/>
      <c r="BU15" s="2367"/>
      <c r="BV15" s="2366"/>
      <c r="BW15" s="2367"/>
      <c r="BX15" s="2366"/>
      <c r="BY15" s="2367"/>
      <c r="BZ15" s="2366"/>
      <c r="CA15" s="2367"/>
      <c r="CB15" s="2366"/>
      <c r="CC15" s="2367"/>
      <c r="CD15" s="2366"/>
      <c r="CE15" s="2367"/>
      <c r="CF15" s="2366"/>
      <c r="CG15" s="2367"/>
      <c r="CH15" s="2366"/>
      <c r="CI15" s="2367"/>
      <c r="CJ15" s="2366"/>
      <c r="CK15" s="2367"/>
      <c r="CL15" s="2393"/>
      <c r="CM15" s="2386"/>
      <c r="CN15" s="2386"/>
      <c r="CO15" s="2386"/>
      <c r="CP15" s="2386"/>
      <c r="CQ15" s="2386"/>
      <c r="CR15" s="2386"/>
      <c r="CS15" s="2386"/>
      <c r="CT15" s="2386"/>
      <c r="CU15" s="2386"/>
      <c r="CV15" s="2386"/>
      <c r="CW15" s="2386"/>
      <c r="CX15" s="2387"/>
      <c r="CY15" s="2366"/>
      <c r="CZ15" s="2367"/>
      <c r="DA15" s="2366"/>
      <c r="DB15" s="2367"/>
      <c r="DC15" s="2366"/>
      <c r="DD15" s="2367"/>
      <c r="DE15" s="2366"/>
      <c r="DF15" s="2367"/>
      <c r="DG15" s="2366"/>
      <c r="DH15" s="2367"/>
      <c r="DI15" s="2366"/>
      <c r="DJ15" s="2367"/>
      <c r="DK15" s="2393"/>
      <c r="DL15" s="2386"/>
      <c r="DM15" s="2386"/>
      <c r="DN15" s="2386"/>
      <c r="DO15" s="2386"/>
      <c r="DP15" s="2386"/>
      <c r="DQ15" s="2386"/>
      <c r="DR15" s="2386"/>
      <c r="DS15" s="2386"/>
      <c r="DT15" s="2386"/>
      <c r="DU15" s="2386"/>
      <c r="DV15" s="2386"/>
      <c r="DW15" s="2386"/>
      <c r="DX15" s="2386"/>
      <c r="DY15" s="2386"/>
      <c r="DZ15" s="2386"/>
      <c r="EA15" s="2386"/>
      <c r="EB15" s="2386"/>
      <c r="EC15" s="2386"/>
      <c r="ED15" s="2386"/>
      <c r="EE15" s="2386"/>
      <c r="EF15" s="2386"/>
      <c r="EG15" s="2386"/>
      <c r="EH15" s="2386"/>
      <c r="EI15" s="2386"/>
      <c r="EJ15" s="2386"/>
      <c r="EK15" s="2386"/>
      <c r="EL15" s="2386"/>
      <c r="EM15" s="2386"/>
      <c r="EN15" s="2386"/>
      <c r="EO15" s="2386"/>
      <c r="EP15" s="2386"/>
      <c r="EQ15" s="2386"/>
      <c r="ER15" s="2386"/>
      <c r="ES15" s="2386"/>
      <c r="ET15" s="2386"/>
      <c r="EU15" s="2386"/>
      <c r="EV15" s="2386"/>
      <c r="EW15" s="2386"/>
      <c r="EX15" s="2386"/>
      <c r="EY15" s="2386"/>
      <c r="EZ15" s="2386"/>
      <c r="FA15" s="2386"/>
      <c r="FB15" s="2386"/>
      <c r="FC15" s="2386"/>
      <c r="FD15" s="2386"/>
      <c r="FE15" s="2386"/>
      <c r="FF15" s="2386"/>
      <c r="FG15" s="2386"/>
      <c r="FH15" s="2386"/>
      <c r="FI15" s="2386"/>
      <c r="FJ15" s="2386"/>
      <c r="FK15" s="2386"/>
      <c r="FL15" s="2386"/>
      <c r="FM15" s="2386"/>
      <c r="FN15" s="2386"/>
      <c r="FO15" s="2386"/>
      <c r="FP15" s="2386"/>
      <c r="FQ15" s="2386"/>
      <c r="FR15" s="2386"/>
      <c r="FS15" s="2386"/>
      <c r="FT15" s="2386"/>
      <c r="FU15" s="2386"/>
      <c r="FV15" s="2386"/>
      <c r="FW15" s="2391"/>
      <c r="FX15" s="673"/>
    </row>
    <row r="16" spans="2:180" ht="12" customHeight="1">
      <c r="D16" s="835"/>
      <c r="E16" s="834"/>
      <c r="F16" s="2281"/>
      <c r="G16" s="2281"/>
      <c r="H16" s="2281"/>
      <c r="I16" s="2281"/>
      <c r="J16" s="2403"/>
      <c r="K16" s="2403"/>
      <c r="L16" s="2403"/>
      <c r="M16" s="2403"/>
      <c r="N16" s="2403"/>
      <c r="O16" s="2316" t="s">
        <v>1858</v>
      </c>
      <c r="P16" s="2318"/>
      <c r="Q16" s="2316" t="s">
        <v>1860</v>
      </c>
      <c r="R16" s="2318"/>
      <c r="S16" s="2316" t="s">
        <v>1864</v>
      </c>
      <c r="T16" s="2318"/>
      <c r="U16" s="2316" t="s">
        <v>1869</v>
      </c>
      <c r="V16" s="2318"/>
      <c r="W16" s="2316" t="s">
        <v>1872</v>
      </c>
      <c r="X16" s="2318"/>
      <c r="Y16" s="2316" t="s">
        <v>1876</v>
      </c>
      <c r="Z16" s="2318"/>
      <c r="AA16" s="2316" t="s">
        <v>1879</v>
      </c>
      <c r="AB16" s="2318"/>
      <c r="AC16" s="2386"/>
      <c r="AD16" s="2386"/>
      <c r="AE16" s="2386"/>
      <c r="AF16" s="2386"/>
      <c r="AG16" s="2386"/>
      <c r="AH16" s="2386"/>
      <c r="AI16" s="2386"/>
      <c r="AJ16" s="2386"/>
      <c r="AK16" s="2386"/>
      <c r="AL16" s="2386"/>
      <c r="AM16" s="2386"/>
      <c r="AN16" s="2386"/>
      <c r="AO16" s="2386"/>
      <c r="AP16" s="2386"/>
      <c r="AQ16" s="2386"/>
      <c r="AR16" s="2386"/>
      <c r="AS16" s="2386"/>
      <c r="AT16" s="2386"/>
      <c r="AU16" s="2386"/>
      <c r="AV16" s="2386"/>
      <c r="AW16" s="2386"/>
      <c r="AX16" s="2386"/>
      <c r="AY16" s="2386"/>
      <c r="AZ16" s="2386"/>
      <c r="BA16" s="2386"/>
      <c r="BB16" s="2386"/>
      <c r="BC16" s="2386"/>
      <c r="BD16" s="2386"/>
      <c r="BE16" s="2386"/>
      <c r="BF16" s="2386"/>
      <c r="BG16" s="2386"/>
      <c r="BH16" s="2386"/>
      <c r="BI16" s="2386"/>
      <c r="BJ16" s="2386"/>
      <c r="BK16" s="2386"/>
      <c r="BL16" s="2386"/>
      <c r="BM16" s="2386"/>
      <c r="BN16" s="2386"/>
      <c r="BO16" s="2386"/>
      <c r="BP16" s="2386"/>
      <c r="BQ16" s="2386"/>
      <c r="BR16" s="2386"/>
      <c r="BS16" s="2387"/>
      <c r="BT16" s="2316" t="s">
        <v>1618</v>
      </c>
      <c r="BU16" s="2318"/>
      <c r="BV16" s="2316" t="s">
        <v>1618</v>
      </c>
      <c r="BW16" s="2318"/>
      <c r="BX16" s="2316" t="s">
        <v>1618</v>
      </c>
      <c r="BY16" s="2318"/>
      <c r="BZ16" s="2316" t="s">
        <v>1618</v>
      </c>
      <c r="CA16" s="2318"/>
      <c r="CB16" s="2316" t="s">
        <v>2092</v>
      </c>
      <c r="CC16" s="2318"/>
      <c r="CD16" s="2316" t="s">
        <v>1618</v>
      </c>
      <c r="CE16" s="2318"/>
      <c r="CF16" s="2316" t="s">
        <v>2093</v>
      </c>
      <c r="CG16" s="2318"/>
      <c r="CH16" s="2316" t="s">
        <v>2094</v>
      </c>
      <c r="CI16" s="2318"/>
      <c r="CJ16" s="2316" t="s">
        <v>2094</v>
      </c>
      <c r="CK16" s="2318"/>
      <c r="CL16" s="2393"/>
      <c r="CM16" s="2386"/>
      <c r="CN16" s="2386"/>
      <c r="CO16" s="2386"/>
      <c r="CP16" s="2386"/>
      <c r="CQ16" s="2386"/>
      <c r="CR16" s="2386"/>
      <c r="CS16" s="2386"/>
      <c r="CT16" s="2386"/>
      <c r="CU16" s="2386"/>
      <c r="CV16" s="2386"/>
      <c r="CW16" s="2386"/>
      <c r="CX16" s="2387"/>
      <c r="CY16" s="2363" t="s">
        <v>1618</v>
      </c>
      <c r="CZ16" s="2364"/>
      <c r="DA16" s="2363" t="s">
        <v>1618</v>
      </c>
      <c r="DB16" s="2364"/>
      <c r="DC16" s="2363" t="s">
        <v>1618</v>
      </c>
      <c r="DD16" s="2364"/>
      <c r="DE16" s="2316" t="s">
        <v>2092</v>
      </c>
      <c r="DF16" s="2318"/>
      <c r="DG16" s="2316" t="s">
        <v>2095</v>
      </c>
      <c r="DH16" s="2318"/>
      <c r="DI16" s="2316" t="s">
        <v>2095</v>
      </c>
      <c r="DJ16" s="2318"/>
      <c r="DK16" s="2393"/>
      <c r="DL16" s="2386"/>
      <c r="DM16" s="2386"/>
      <c r="DN16" s="2386"/>
      <c r="DO16" s="2386"/>
      <c r="DP16" s="2386"/>
      <c r="DQ16" s="2386"/>
      <c r="DR16" s="2386"/>
      <c r="DS16" s="2386"/>
      <c r="DT16" s="2386"/>
      <c r="DU16" s="2386"/>
      <c r="DV16" s="2386"/>
      <c r="DW16" s="2386"/>
      <c r="DX16" s="2386"/>
      <c r="DY16" s="2386"/>
      <c r="DZ16" s="2386"/>
      <c r="EA16" s="2386"/>
      <c r="EB16" s="2386"/>
      <c r="EC16" s="2386"/>
      <c r="ED16" s="2386"/>
      <c r="EE16" s="2386"/>
      <c r="EF16" s="2386"/>
      <c r="EG16" s="2386"/>
      <c r="EH16" s="2386"/>
      <c r="EI16" s="2386"/>
      <c r="EJ16" s="2386"/>
      <c r="EK16" s="2386"/>
      <c r="EL16" s="2386"/>
      <c r="EM16" s="2386"/>
      <c r="EN16" s="2386"/>
      <c r="EO16" s="2386"/>
      <c r="EP16" s="2386"/>
      <c r="EQ16" s="2386"/>
      <c r="ER16" s="2386"/>
      <c r="ES16" s="2386"/>
      <c r="ET16" s="2386"/>
      <c r="EU16" s="2386"/>
      <c r="EV16" s="2386"/>
      <c r="EW16" s="2386"/>
      <c r="EX16" s="2386"/>
      <c r="EY16" s="2386"/>
      <c r="EZ16" s="2386"/>
      <c r="FA16" s="2386"/>
      <c r="FB16" s="2386"/>
      <c r="FC16" s="2386"/>
      <c r="FD16" s="2386"/>
      <c r="FE16" s="2386"/>
      <c r="FF16" s="2386"/>
      <c r="FG16" s="2386"/>
      <c r="FH16" s="2386"/>
      <c r="FI16" s="2386"/>
      <c r="FJ16" s="2386"/>
      <c r="FK16" s="2386"/>
      <c r="FL16" s="2386"/>
      <c r="FM16" s="2386"/>
      <c r="FN16" s="2386"/>
      <c r="FO16" s="2386"/>
      <c r="FP16" s="2386"/>
      <c r="FQ16" s="2386"/>
      <c r="FR16" s="2386"/>
      <c r="FS16" s="2386"/>
      <c r="FT16" s="2386"/>
      <c r="FU16" s="2386"/>
      <c r="FV16" s="2386"/>
      <c r="FW16" s="2391"/>
      <c r="FX16" s="673"/>
    </row>
    <row r="17" spans="1:184" ht="15" customHeight="1">
      <c r="E17" s="834"/>
      <c r="F17" s="2281"/>
      <c r="G17" s="2281"/>
      <c r="H17" s="2281"/>
      <c r="I17" s="2281"/>
      <c r="J17" s="2403"/>
      <c r="K17" s="2403"/>
      <c r="L17" s="2403"/>
      <c r="M17" s="2403"/>
      <c r="N17" s="2403"/>
      <c r="O17" s="1063" t="s">
        <v>2096</v>
      </c>
      <c r="P17" s="1063" t="s">
        <v>2097</v>
      </c>
      <c r="Q17" s="1063" t="s">
        <v>2096</v>
      </c>
      <c r="R17" s="1063" t="s">
        <v>2097</v>
      </c>
      <c r="S17" s="1063" t="s">
        <v>2096</v>
      </c>
      <c r="T17" s="1063" t="s">
        <v>2097</v>
      </c>
      <c r="U17" s="1063" t="s">
        <v>2096</v>
      </c>
      <c r="V17" s="1063" t="s">
        <v>2097</v>
      </c>
      <c r="W17" s="1063" t="s">
        <v>2096</v>
      </c>
      <c r="X17" s="1063" t="s">
        <v>2097</v>
      </c>
      <c r="Y17" s="1063" t="s">
        <v>2096</v>
      </c>
      <c r="Z17" s="1063" t="s">
        <v>2097</v>
      </c>
      <c r="AA17" s="1063" t="s">
        <v>2096</v>
      </c>
      <c r="AB17" s="1063" t="s">
        <v>2097</v>
      </c>
      <c r="AC17" s="2386"/>
      <c r="AD17" s="2386"/>
      <c r="AE17" s="2386"/>
      <c r="AF17" s="2386"/>
      <c r="AG17" s="2386"/>
      <c r="AH17" s="2386"/>
      <c r="AI17" s="2386"/>
      <c r="AJ17" s="2386"/>
      <c r="AK17" s="2386"/>
      <c r="AL17" s="2386"/>
      <c r="AM17" s="2386"/>
      <c r="AN17" s="2386"/>
      <c r="AO17" s="2386"/>
      <c r="AP17" s="2386"/>
      <c r="AQ17" s="2386"/>
      <c r="AR17" s="2386"/>
      <c r="AS17" s="2386"/>
      <c r="AT17" s="2386"/>
      <c r="AU17" s="2386"/>
      <c r="AV17" s="2386"/>
      <c r="AW17" s="2386"/>
      <c r="AX17" s="2386"/>
      <c r="AY17" s="2386"/>
      <c r="AZ17" s="2386"/>
      <c r="BA17" s="2386"/>
      <c r="BB17" s="2386"/>
      <c r="BC17" s="2386"/>
      <c r="BD17" s="2386"/>
      <c r="BE17" s="2386"/>
      <c r="BF17" s="2386"/>
      <c r="BG17" s="2386"/>
      <c r="BH17" s="2386"/>
      <c r="BI17" s="2386"/>
      <c r="BJ17" s="2386"/>
      <c r="BK17" s="2386"/>
      <c r="BL17" s="2386"/>
      <c r="BM17" s="2386"/>
      <c r="BN17" s="2386"/>
      <c r="BO17" s="2386"/>
      <c r="BP17" s="2386"/>
      <c r="BQ17" s="2386"/>
      <c r="BR17" s="2386"/>
      <c r="BS17" s="2387"/>
      <c r="BT17" s="1063" t="s">
        <v>2096</v>
      </c>
      <c r="BU17" s="1063" t="s">
        <v>2097</v>
      </c>
      <c r="BV17" s="1063" t="s">
        <v>2096</v>
      </c>
      <c r="BW17" s="1063" t="s">
        <v>2097</v>
      </c>
      <c r="BX17" s="1063" t="s">
        <v>2096</v>
      </c>
      <c r="BY17" s="1063" t="s">
        <v>2097</v>
      </c>
      <c r="BZ17" s="1063" t="s">
        <v>2096</v>
      </c>
      <c r="CA17" s="1063" t="s">
        <v>2097</v>
      </c>
      <c r="CB17" s="1063" t="s">
        <v>2096</v>
      </c>
      <c r="CC17" s="1063" t="s">
        <v>2097</v>
      </c>
      <c r="CD17" s="1063" t="s">
        <v>2096</v>
      </c>
      <c r="CE17" s="1063" t="s">
        <v>2097</v>
      </c>
      <c r="CF17" s="1063" t="s">
        <v>2096</v>
      </c>
      <c r="CG17" s="1063" t="s">
        <v>2097</v>
      </c>
      <c r="CH17" s="1063" t="s">
        <v>2096</v>
      </c>
      <c r="CI17" s="1063" t="s">
        <v>2097</v>
      </c>
      <c r="CJ17" s="1063" t="s">
        <v>2096</v>
      </c>
      <c r="CK17" s="1063" t="s">
        <v>2097</v>
      </c>
      <c r="CL17" s="2393"/>
      <c r="CM17" s="2386"/>
      <c r="CN17" s="2386"/>
      <c r="CO17" s="2386"/>
      <c r="CP17" s="2386"/>
      <c r="CQ17" s="2386"/>
      <c r="CR17" s="2386"/>
      <c r="CS17" s="2386"/>
      <c r="CT17" s="2386"/>
      <c r="CU17" s="2386"/>
      <c r="CV17" s="2386"/>
      <c r="CW17" s="2386"/>
      <c r="CX17" s="2387"/>
      <c r="CY17" s="1063" t="s">
        <v>2096</v>
      </c>
      <c r="CZ17" s="1063" t="s">
        <v>2097</v>
      </c>
      <c r="DA17" s="1063" t="s">
        <v>2096</v>
      </c>
      <c r="DB17" s="1063" t="s">
        <v>2097</v>
      </c>
      <c r="DC17" s="1063" t="s">
        <v>2096</v>
      </c>
      <c r="DD17" s="1063" t="s">
        <v>2097</v>
      </c>
      <c r="DE17" s="1063" t="s">
        <v>2096</v>
      </c>
      <c r="DF17" s="1063" t="s">
        <v>2097</v>
      </c>
      <c r="DG17" s="1063" t="s">
        <v>2096</v>
      </c>
      <c r="DH17" s="1063" t="s">
        <v>2097</v>
      </c>
      <c r="DI17" s="1063" t="s">
        <v>2096</v>
      </c>
      <c r="DJ17" s="1063" t="s">
        <v>2097</v>
      </c>
      <c r="DK17" s="2393"/>
      <c r="DL17" s="2386"/>
      <c r="DM17" s="2386"/>
      <c r="DN17" s="2386"/>
      <c r="DO17" s="2386"/>
      <c r="DP17" s="2386"/>
      <c r="DQ17" s="2386"/>
      <c r="DR17" s="2386"/>
      <c r="DS17" s="2386"/>
      <c r="DT17" s="2386"/>
      <c r="DU17" s="2386"/>
      <c r="DV17" s="2386"/>
      <c r="DW17" s="2386"/>
      <c r="DX17" s="2386"/>
      <c r="DY17" s="2386"/>
      <c r="DZ17" s="2386"/>
      <c r="EA17" s="2386"/>
      <c r="EB17" s="2386"/>
      <c r="EC17" s="2386"/>
      <c r="ED17" s="2386"/>
      <c r="EE17" s="2386"/>
      <c r="EF17" s="2386"/>
      <c r="EG17" s="2386"/>
      <c r="EH17" s="2386"/>
      <c r="EI17" s="2386"/>
      <c r="EJ17" s="2386"/>
      <c r="EK17" s="2386"/>
      <c r="EL17" s="2386"/>
      <c r="EM17" s="2386"/>
      <c r="EN17" s="2386"/>
      <c r="EO17" s="2386"/>
      <c r="EP17" s="2386"/>
      <c r="EQ17" s="2386"/>
      <c r="ER17" s="2386"/>
      <c r="ES17" s="2386"/>
      <c r="ET17" s="2386"/>
      <c r="EU17" s="2386"/>
      <c r="EV17" s="2386"/>
      <c r="EW17" s="2386"/>
      <c r="EX17" s="2386"/>
      <c r="EY17" s="2386"/>
      <c r="EZ17" s="2386"/>
      <c r="FA17" s="2386"/>
      <c r="FB17" s="2386"/>
      <c r="FC17" s="2386"/>
      <c r="FD17" s="2386"/>
      <c r="FE17" s="2386"/>
      <c r="FF17" s="2386"/>
      <c r="FG17" s="2386"/>
      <c r="FH17" s="2386"/>
      <c r="FI17" s="2386"/>
      <c r="FJ17" s="2386"/>
      <c r="FK17" s="2386"/>
      <c r="FL17" s="2386"/>
      <c r="FM17" s="2386"/>
      <c r="FN17" s="2386"/>
      <c r="FO17" s="2386"/>
      <c r="FP17" s="2386"/>
      <c r="FQ17" s="2386"/>
      <c r="FR17" s="2386"/>
      <c r="FS17" s="2386"/>
      <c r="FT17" s="2386"/>
      <c r="FU17" s="2386"/>
      <c r="FV17" s="2386"/>
      <c r="FW17" s="2392"/>
      <c r="FX17" s="673"/>
    </row>
    <row r="18" spans="1:184" s="1871" customFormat="1" ht="12" hidden="1" customHeight="1">
      <c r="B18" s="823"/>
      <c r="E18" s="836"/>
      <c r="F18" s="1064"/>
      <c r="G18" s="1064"/>
      <c r="H18" s="1064"/>
      <c r="I18" s="1064"/>
      <c r="J18" s="1065"/>
      <c r="K18" s="1065"/>
      <c r="L18" s="1065"/>
      <c r="M18" s="1065"/>
      <c r="N18" s="1065"/>
      <c r="O18" s="1064"/>
      <c r="P18" s="1064"/>
      <c r="Q18" s="1064"/>
      <c r="R18" s="1064"/>
      <c r="S18" s="1064"/>
      <c r="T18" s="1064"/>
      <c r="U18" s="1066"/>
      <c r="V18" s="1066"/>
      <c r="W18" s="1066"/>
      <c r="X18" s="1066"/>
      <c r="Y18" s="1066"/>
      <c r="Z18" s="1066"/>
      <c r="AA18" s="1066"/>
      <c r="AB18" s="1064"/>
      <c r="AC18" s="1065"/>
      <c r="AD18" s="1065"/>
      <c r="AE18" s="1065"/>
      <c r="AF18" s="1065"/>
      <c r="AG18" s="1065"/>
      <c r="AH18" s="1065"/>
      <c r="AI18" s="1065"/>
      <c r="AJ18" s="1065"/>
      <c r="AK18" s="1065"/>
      <c r="AL18" s="1065"/>
      <c r="AM18" s="1065"/>
      <c r="AN18" s="1065"/>
      <c r="AO18" s="1065"/>
      <c r="AP18" s="1065"/>
      <c r="AQ18" s="1065"/>
      <c r="AR18" s="1065"/>
      <c r="AS18" s="1065"/>
      <c r="AT18" s="1065"/>
      <c r="AU18" s="1065"/>
      <c r="AV18" s="1065"/>
      <c r="AW18" s="1065"/>
      <c r="AX18" s="1065"/>
      <c r="AY18" s="1065"/>
      <c r="AZ18" s="1065"/>
      <c r="BA18" s="1065"/>
      <c r="BB18" s="1065"/>
      <c r="BC18" s="1065"/>
      <c r="BD18" s="1065"/>
      <c r="BE18" s="1065"/>
      <c r="BF18" s="1065"/>
      <c r="BG18" s="1065"/>
      <c r="BH18" s="1065"/>
      <c r="BI18" s="1065"/>
      <c r="BJ18" s="1065"/>
      <c r="BK18" s="1065"/>
      <c r="BL18" s="1065"/>
      <c r="BM18" s="1065"/>
      <c r="BN18" s="1065"/>
      <c r="BO18" s="1065"/>
      <c r="BP18" s="1065"/>
      <c r="BQ18" s="1065"/>
      <c r="BR18" s="1065"/>
      <c r="BS18" s="1065"/>
      <c r="BT18" s="1067"/>
      <c r="BU18" s="1067"/>
      <c r="BV18" s="1067"/>
      <c r="BW18" s="1067"/>
      <c r="BX18" s="1067"/>
      <c r="BY18" s="1067"/>
      <c r="BZ18" s="1067"/>
      <c r="CA18" s="1067"/>
      <c r="CB18" s="1067"/>
      <c r="CC18" s="1067"/>
      <c r="CD18" s="1067"/>
      <c r="CE18" s="1067"/>
      <c r="CF18" s="1067"/>
      <c r="CG18" s="1067"/>
      <c r="CH18" s="1067"/>
      <c r="CI18" s="1067"/>
      <c r="CJ18" s="1067"/>
      <c r="CK18" s="1067"/>
      <c r="CL18" s="1065"/>
      <c r="CM18" s="1065"/>
      <c r="CN18" s="1065"/>
      <c r="CO18" s="1065"/>
      <c r="CP18" s="1065"/>
      <c r="CQ18" s="1065"/>
      <c r="CR18" s="1065"/>
      <c r="CS18" s="1065"/>
      <c r="CT18" s="1065"/>
      <c r="CU18" s="1065"/>
      <c r="CV18" s="1065"/>
      <c r="CW18" s="1065"/>
      <c r="CX18" s="1065"/>
      <c r="CY18" s="1067"/>
      <c r="CZ18" s="1067"/>
      <c r="DA18" s="1067"/>
      <c r="DB18" s="1067"/>
      <c r="DC18" s="1067"/>
      <c r="DD18" s="1067"/>
      <c r="DE18" s="1067"/>
      <c r="DF18" s="1067"/>
      <c r="DG18" s="1067"/>
      <c r="DH18" s="1067"/>
      <c r="DI18" s="1067"/>
      <c r="DJ18" s="1067"/>
      <c r="DK18" s="1065"/>
      <c r="DL18" s="1065"/>
      <c r="DM18" s="1065"/>
      <c r="DN18" s="1065"/>
      <c r="DO18" s="1065"/>
      <c r="DP18" s="1065"/>
      <c r="DQ18" s="1065"/>
      <c r="DR18" s="1065"/>
      <c r="DS18" s="1065"/>
      <c r="DT18" s="1065"/>
      <c r="DU18" s="1065"/>
      <c r="DV18" s="1065"/>
      <c r="DW18" s="1065"/>
      <c r="DX18" s="1065"/>
      <c r="DY18" s="1065"/>
      <c r="DZ18" s="1065"/>
      <c r="EA18" s="1065"/>
      <c r="EB18" s="1065"/>
      <c r="EC18" s="1065"/>
      <c r="ED18" s="1065"/>
      <c r="EE18" s="1065"/>
      <c r="EF18" s="1065"/>
      <c r="EG18" s="1065"/>
      <c r="EH18" s="1065"/>
      <c r="EI18" s="1065"/>
      <c r="EJ18" s="1065"/>
      <c r="EK18" s="1065"/>
      <c r="EL18" s="1065"/>
      <c r="EM18" s="1065"/>
      <c r="EN18" s="1065"/>
      <c r="EO18" s="1065"/>
      <c r="EP18" s="1065"/>
      <c r="EQ18" s="1065"/>
      <c r="ER18" s="1065"/>
      <c r="ES18" s="1065"/>
      <c r="ET18" s="1065"/>
      <c r="EU18" s="1065"/>
      <c r="EV18" s="1065"/>
      <c r="EW18" s="1065"/>
      <c r="EX18" s="1065"/>
      <c r="EY18" s="1065"/>
      <c r="EZ18" s="1065"/>
      <c r="FA18" s="1065"/>
      <c r="FB18" s="1065"/>
      <c r="FC18" s="1065"/>
      <c r="FD18" s="1065"/>
      <c r="FE18" s="1065"/>
      <c r="FF18" s="1065"/>
      <c r="FG18" s="1065"/>
      <c r="FH18" s="1065"/>
      <c r="FI18" s="1065"/>
      <c r="FJ18" s="1065"/>
      <c r="FK18" s="1065"/>
      <c r="FL18" s="1065"/>
      <c r="FM18" s="1065"/>
      <c r="FN18" s="1065"/>
      <c r="FO18" s="1065"/>
      <c r="FP18" s="1065"/>
      <c r="FQ18" s="1065"/>
      <c r="FR18" s="1065"/>
      <c r="FS18" s="1065"/>
      <c r="FT18" s="1065"/>
      <c r="FU18" s="1065"/>
      <c r="FV18" s="1065"/>
      <c r="FW18" s="1064"/>
      <c r="FX18" s="1068"/>
    </row>
    <row r="19" spans="1:184" s="1871" customFormat="1" ht="11.25" hidden="1" customHeight="1">
      <c r="B19" s="823"/>
      <c r="E19" s="836"/>
      <c r="F19" s="1064"/>
      <c r="G19" s="1064"/>
      <c r="H19" s="1064"/>
      <c r="I19" s="1064"/>
      <c r="J19" s="1064"/>
      <c r="K19" s="1064"/>
      <c r="L19" s="1064"/>
      <c r="M19" s="1064"/>
      <c r="N19" s="1064"/>
      <c r="O19" s="1064"/>
      <c r="P19" s="1064"/>
      <c r="Q19" s="1064"/>
      <c r="R19" s="1064"/>
      <c r="S19" s="1064"/>
      <c r="T19" s="1064"/>
      <c r="U19" s="1066"/>
      <c r="V19" s="1066"/>
      <c r="W19" s="1066"/>
      <c r="X19" s="1066"/>
      <c r="Y19" s="1066"/>
      <c r="Z19" s="1066"/>
      <c r="AA19" s="1066"/>
      <c r="AB19" s="1064"/>
      <c r="AC19" s="1064"/>
      <c r="AD19" s="1064"/>
      <c r="AE19" s="1064"/>
      <c r="AF19" s="1064"/>
      <c r="AG19" s="1064"/>
      <c r="AH19" s="1064"/>
      <c r="AI19" s="1064"/>
      <c r="AJ19" s="1064"/>
      <c r="AK19" s="1064"/>
      <c r="AL19" s="1064"/>
      <c r="AM19" s="1064"/>
      <c r="AN19" s="1064"/>
      <c r="AO19" s="1064"/>
      <c r="AP19" s="1064"/>
      <c r="AQ19" s="1064"/>
      <c r="AR19" s="1064"/>
      <c r="AS19" s="1064"/>
      <c r="AT19" s="1064"/>
      <c r="AU19" s="1064"/>
      <c r="AV19" s="1064"/>
      <c r="AW19" s="1064"/>
      <c r="AX19" s="1064"/>
      <c r="AY19" s="1064"/>
      <c r="AZ19" s="1064"/>
      <c r="BA19" s="1064"/>
      <c r="BB19" s="1064"/>
      <c r="BC19" s="1064"/>
      <c r="BD19" s="1064"/>
      <c r="BE19" s="1064"/>
      <c r="BF19" s="1064"/>
      <c r="BG19" s="1064"/>
      <c r="BH19" s="1064"/>
      <c r="BI19" s="1064"/>
      <c r="BJ19" s="1064"/>
      <c r="BK19" s="1064"/>
      <c r="BL19" s="1064"/>
      <c r="BM19" s="1064"/>
      <c r="BN19" s="1064"/>
      <c r="BO19" s="1064"/>
      <c r="BP19" s="1064"/>
      <c r="BQ19" s="1064"/>
      <c r="BR19" s="1064"/>
      <c r="BS19" s="1064"/>
      <c r="BT19" s="1064"/>
      <c r="BU19" s="1064"/>
      <c r="BV19" s="1064"/>
      <c r="BW19" s="1064"/>
      <c r="BX19" s="1064"/>
      <c r="BY19" s="1064"/>
      <c r="BZ19" s="1064"/>
      <c r="CA19" s="1064"/>
      <c r="CB19" s="1064"/>
      <c r="CC19" s="1064"/>
      <c r="CD19" s="1064"/>
      <c r="CE19" s="1064"/>
      <c r="CF19" s="1064"/>
      <c r="CG19" s="1064"/>
      <c r="CH19" s="1064"/>
      <c r="CI19" s="1064"/>
      <c r="CJ19" s="1064"/>
      <c r="CK19" s="1064"/>
      <c r="CL19" s="1064"/>
      <c r="CM19" s="1064"/>
      <c r="CN19" s="1064"/>
      <c r="CO19" s="1064"/>
      <c r="CP19" s="1064"/>
      <c r="CQ19" s="1064"/>
      <c r="CR19" s="1064"/>
      <c r="CS19" s="1064"/>
      <c r="CT19" s="1064"/>
      <c r="CU19" s="1064"/>
      <c r="CV19" s="1064"/>
      <c r="CW19" s="1064"/>
      <c r="CX19" s="1064"/>
      <c r="CY19" s="1064"/>
      <c r="CZ19" s="1064"/>
      <c r="DA19" s="1064"/>
      <c r="DB19" s="1064"/>
      <c r="DC19" s="1064"/>
      <c r="DD19" s="1064"/>
      <c r="DE19" s="1064"/>
      <c r="DF19" s="1064"/>
      <c r="DG19" s="1064"/>
      <c r="DH19" s="1064"/>
      <c r="DI19" s="1064"/>
      <c r="DJ19" s="1064"/>
      <c r="DK19" s="1064"/>
      <c r="DL19" s="1064"/>
      <c r="DM19" s="1064"/>
      <c r="DN19" s="1064"/>
      <c r="DO19" s="1064"/>
      <c r="DP19" s="1064"/>
      <c r="DQ19" s="1064"/>
      <c r="DR19" s="1064"/>
      <c r="DS19" s="1064"/>
      <c r="DT19" s="1064"/>
      <c r="DU19" s="1064"/>
      <c r="DV19" s="1064"/>
      <c r="DW19" s="1064"/>
      <c r="DX19" s="1064"/>
      <c r="DY19" s="1064"/>
      <c r="DZ19" s="1064"/>
      <c r="EA19" s="1064"/>
      <c r="EB19" s="1064"/>
      <c r="EC19" s="1064"/>
      <c r="ED19" s="1064"/>
      <c r="EE19" s="1064"/>
      <c r="EF19" s="1064"/>
      <c r="EG19" s="1064"/>
      <c r="EH19" s="1064"/>
      <c r="EI19" s="1064"/>
      <c r="EJ19" s="1064"/>
      <c r="EK19" s="1064"/>
      <c r="EL19" s="1064"/>
      <c r="EM19" s="1064"/>
      <c r="EN19" s="1064"/>
      <c r="EO19" s="1064"/>
      <c r="EP19" s="1064"/>
      <c r="EQ19" s="1064"/>
      <c r="ER19" s="1064"/>
      <c r="ES19" s="1064"/>
      <c r="ET19" s="1064"/>
      <c r="EU19" s="1064"/>
      <c r="EV19" s="1064"/>
      <c r="EW19" s="1064"/>
      <c r="EX19" s="1064"/>
      <c r="EY19" s="1064"/>
      <c r="EZ19" s="1064"/>
      <c r="FA19" s="1064"/>
      <c r="FB19" s="1064"/>
      <c r="FC19" s="1064"/>
      <c r="FD19" s="1064"/>
      <c r="FE19" s="1064"/>
      <c r="FF19" s="1064"/>
      <c r="FG19" s="1064"/>
      <c r="FH19" s="1064"/>
      <c r="FI19" s="1064"/>
      <c r="FJ19" s="1064"/>
      <c r="FK19" s="1064"/>
      <c r="FL19" s="1064"/>
      <c r="FM19" s="1064"/>
      <c r="FN19" s="1064"/>
      <c r="FO19" s="1064"/>
      <c r="FP19" s="1064"/>
      <c r="FQ19" s="1064"/>
      <c r="FR19" s="1064"/>
      <c r="FS19" s="1064"/>
      <c r="FT19" s="1064"/>
      <c r="FU19" s="1064"/>
      <c r="FV19" s="1064"/>
      <c r="FW19" s="1064"/>
      <c r="FX19" s="1068"/>
    </row>
    <row r="20" spans="1:184" s="1871" customFormat="1" ht="11.25" hidden="1" customHeight="1">
      <c r="B20" s="837"/>
      <c r="D20" s="824"/>
      <c r="E20" s="836"/>
      <c r="F20" s="1069" t="s">
        <v>370</v>
      </c>
      <c r="G20" s="1070"/>
      <c r="H20" s="1071"/>
      <c r="I20" s="1071"/>
      <c r="J20" s="1071"/>
      <c r="K20" s="1071"/>
      <c r="L20" s="1071"/>
      <c r="M20" s="1071"/>
      <c r="N20" s="1071"/>
      <c r="O20" s="1070"/>
      <c r="P20" s="1070"/>
      <c r="Q20" s="1070"/>
      <c r="R20" s="1070"/>
      <c r="S20" s="1070"/>
      <c r="T20" s="1070"/>
      <c r="U20" s="1072"/>
      <c r="V20" s="1072"/>
      <c r="W20" s="1072"/>
      <c r="X20" s="1072"/>
      <c r="Y20" s="1072"/>
      <c r="Z20" s="1072"/>
      <c r="AA20" s="1072"/>
      <c r="AB20" s="1070"/>
      <c r="AC20" s="1071"/>
      <c r="AD20" s="1071"/>
      <c r="AE20" s="1071"/>
      <c r="AF20" s="1071"/>
      <c r="AG20" s="1071"/>
      <c r="AH20" s="1071"/>
      <c r="AI20" s="1071"/>
      <c r="AJ20" s="1071"/>
      <c r="AK20" s="1071"/>
      <c r="AL20" s="1071"/>
      <c r="AM20" s="1071"/>
      <c r="AN20" s="1071"/>
      <c r="AO20" s="1071"/>
      <c r="AP20" s="1071"/>
      <c r="AQ20" s="1071"/>
      <c r="AR20" s="1071"/>
      <c r="AS20" s="1071"/>
      <c r="AT20" s="1071"/>
      <c r="AU20" s="1071"/>
      <c r="AV20" s="1071"/>
      <c r="AW20" s="1071"/>
      <c r="AX20" s="1071"/>
      <c r="AY20" s="1071"/>
      <c r="AZ20" s="1071"/>
      <c r="BA20" s="1071"/>
      <c r="BB20" s="1071"/>
      <c r="BC20" s="1071"/>
      <c r="BD20" s="1071"/>
      <c r="BE20" s="1071"/>
      <c r="BF20" s="1071"/>
      <c r="BG20" s="1071"/>
      <c r="BH20" s="1071"/>
      <c r="BI20" s="1071"/>
      <c r="BJ20" s="1071"/>
      <c r="BK20" s="1071"/>
      <c r="BL20" s="1071"/>
      <c r="BM20" s="1071"/>
      <c r="BN20" s="1071"/>
      <c r="BO20" s="1071"/>
      <c r="BP20" s="1071"/>
      <c r="BQ20" s="1071"/>
      <c r="BR20" s="1071"/>
      <c r="BS20" s="1071"/>
      <c r="BT20" s="1071"/>
      <c r="BU20" s="1071"/>
      <c r="BV20" s="1071"/>
      <c r="BW20" s="1071"/>
      <c r="BX20" s="1071"/>
      <c r="BY20" s="1071"/>
      <c r="BZ20" s="1071"/>
      <c r="CA20" s="1071"/>
      <c r="CB20" s="1071"/>
      <c r="CC20" s="1071"/>
      <c r="CD20" s="1071"/>
      <c r="CE20" s="1071"/>
      <c r="CF20" s="1071"/>
      <c r="CG20" s="1071"/>
      <c r="CH20" s="1071"/>
      <c r="CI20" s="1071"/>
      <c r="CJ20" s="1071"/>
      <c r="CK20" s="1071"/>
      <c r="CL20" s="1073"/>
      <c r="CM20" s="1073"/>
      <c r="CN20" s="1073"/>
      <c r="CO20" s="1073"/>
      <c r="CP20" s="1073"/>
      <c r="CQ20" s="1073"/>
      <c r="CR20" s="1073"/>
      <c r="CS20" s="1073"/>
      <c r="CT20" s="1073"/>
      <c r="CU20" s="1073"/>
      <c r="CV20" s="1073"/>
      <c r="CW20" s="1073"/>
      <c r="CX20" s="1073"/>
      <c r="CY20" s="1073"/>
      <c r="CZ20" s="1073"/>
      <c r="DA20" s="1073"/>
      <c r="DB20" s="1073"/>
      <c r="DC20" s="1073"/>
      <c r="DD20" s="1073"/>
      <c r="DE20" s="1073"/>
      <c r="DF20" s="1073"/>
      <c r="DG20" s="1073"/>
      <c r="DH20" s="1073"/>
      <c r="DI20" s="1073"/>
      <c r="DJ20" s="1073"/>
      <c r="DK20" s="1073"/>
      <c r="DL20" s="1073"/>
      <c r="DM20" s="1073"/>
      <c r="DN20" s="1073"/>
      <c r="DO20" s="1073"/>
      <c r="DP20" s="1073"/>
      <c r="DQ20" s="1073"/>
      <c r="DR20" s="1073"/>
      <c r="DS20" s="1073"/>
      <c r="DT20" s="1073"/>
      <c r="DU20" s="1073"/>
      <c r="DV20" s="1073"/>
      <c r="DW20" s="1073"/>
      <c r="DX20" s="1073"/>
      <c r="DY20" s="1073"/>
      <c r="DZ20" s="1073"/>
      <c r="EA20" s="1073"/>
      <c r="EB20" s="1073"/>
      <c r="EC20" s="1073"/>
      <c r="ED20" s="1073"/>
      <c r="EE20" s="1073"/>
      <c r="EF20" s="1073"/>
      <c r="EG20" s="1073"/>
      <c r="EH20" s="1073"/>
      <c r="EI20" s="1073"/>
      <c r="EJ20" s="1073"/>
      <c r="EK20" s="1073"/>
      <c r="EL20" s="1073"/>
      <c r="EM20" s="1073"/>
      <c r="EN20" s="1073"/>
      <c r="EO20" s="1073"/>
      <c r="EP20" s="1073"/>
      <c r="EQ20" s="1073"/>
      <c r="ER20" s="1073"/>
      <c r="ES20" s="1073"/>
      <c r="ET20" s="1073"/>
      <c r="EU20" s="1073"/>
      <c r="EV20" s="1073"/>
      <c r="EW20" s="1073"/>
      <c r="EX20" s="1073"/>
      <c r="EY20" s="1073"/>
      <c r="EZ20" s="1073"/>
      <c r="FA20" s="1073"/>
      <c r="FB20" s="1073"/>
      <c r="FC20" s="1073"/>
      <c r="FD20" s="1073"/>
      <c r="FE20" s="1073"/>
      <c r="FF20" s="1073"/>
      <c r="FG20" s="1073"/>
      <c r="FH20" s="1073"/>
      <c r="FI20" s="1073"/>
      <c r="FJ20" s="1073"/>
      <c r="FK20" s="1073"/>
      <c r="FL20" s="1073"/>
      <c r="FM20" s="1073"/>
      <c r="FN20" s="1073"/>
      <c r="FO20" s="1073"/>
      <c r="FP20" s="1073"/>
      <c r="FQ20" s="1073"/>
      <c r="FR20" s="1073"/>
      <c r="FS20" s="1073"/>
      <c r="FT20" s="1073"/>
      <c r="FU20" s="1073"/>
      <c r="FV20" s="1073"/>
      <c r="FW20" s="1073"/>
      <c r="FX20" s="1074"/>
    </row>
    <row r="21" spans="1:184" ht="21" customHeight="1">
      <c r="A21" s="1043" t="s">
        <v>1987</v>
      </c>
      <c r="B21" s="1870"/>
      <c r="C21" s="1871"/>
      <c r="D21" s="1871"/>
      <c r="E21" s="1872" t="s">
        <v>17</v>
      </c>
      <c r="F21" s="1873" t="str">
        <f>INDEX(IP_MAIN_LIST_NAME_IP,MATCH(A21,IP_MAIN_LIST_IP_ID,0))&amp;" ("&amp;INDEX(IP_MAIN_START_DATE,MATCH(A21,IP_MAIN_LIST_IP_ID,0))&amp;"-"&amp;INDEX(IP_MAIN_END_DATE,MATCH(A21,IP_MAIN_LIST_IP_ID,0))&amp;")"</f>
        <v>Инвестиционная программа № 329_318/21П/од от 29.10.2021 ООО "Автозаводская ТЭЦ" в сфере теплоснабжения в отношении объектов, на территории городского округа Нижний Новгород на 2022-2026 годы (01.01.2022-31.12.2026)</v>
      </c>
      <c r="G21" s="1874"/>
      <c r="H21" s="1875"/>
      <c r="I21" s="1875"/>
      <c r="J21" s="1875"/>
      <c r="K21" s="1875"/>
      <c r="L21" s="1875"/>
      <c r="M21" s="1875"/>
      <c r="N21" s="1875"/>
      <c r="O21" s="1874"/>
      <c r="P21" s="1874"/>
      <c r="Q21" s="1874"/>
      <c r="R21" s="1874"/>
      <c r="S21" s="1874"/>
      <c r="T21" s="1874"/>
      <c r="U21" s="1876"/>
      <c r="V21" s="1876"/>
      <c r="W21" s="1876"/>
      <c r="X21" s="1876"/>
      <c r="Y21" s="1076"/>
      <c r="Z21" s="1076"/>
      <c r="AA21" s="1076"/>
      <c r="AB21" s="1874"/>
      <c r="AC21" s="1075"/>
      <c r="AD21" s="1875"/>
      <c r="AE21" s="1875"/>
      <c r="AF21" s="1875"/>
      <c r="AG21" s="1875"/>
      <c r="AH21" s="1875"/>
      <c r="AI21" s="1875"/>
      <c r="AJ21" s="1875"/>
      <c r="AK21" s="1875"/>
      <c r="AL21" s="1875"/>
      <c r="AM21" s="1875"/>
      <c r="AN21" s="1875"/>
      <c r="AO21" s="1875"/>
      <c r="AP21" s="1875"/>
      <c r="AQ21" s="1875"/>
      <c r="AR21" s="1875"/>
      <c r="AS21" s="1875"/>
      <c r="AT21" s="1875"/>
      <c r="AU21" s="1875"/>
      <c r="AV21" s="1875"/>
      <c r="AW21" s="1875"/>
      <c r="AX21" s="1875"/>
      <c r="AY21" s="1875"/>
      <c r="AZ21" s="1875"/>
      <c r="BA21" s="1875"/>
      <c r="BB21" s="1875"/>
      <c r="BC21" s="1875"/>
      <c r="BD21" s="1875"/>
      <c r="BE21" s="1875"/>
      <c r="BF21" s="1875"/>
      <c r="BG21" s="1875"/>
      <c r="BH21" s="1875"/>
      <c r="BI21" s="1875"/>
      <c r="BJ21" s="1875"/>
      <c r="BK21" s="1875"/>
      <c r="BL21" s="1875"/>
      <c r="BM21" s="1875"/>
      <c r="BN21" s="1875"/>
      <c r="BO21" s="1875"/>
      <c r="BP21" s="1875"/>
      <c r="BQ21" s="1875"/>
      <c r="BR21" s="1875"/>
      <c r="BS21" s="1875"/>
      <c r="BT21" s="1875"/>
      <c r="BU21" s="1875"/>
      <c r="BV21" s="1875"/>
      <c r="BW21" s="1875"/>
      <c r="BX21" s="1875"/>
      <c r="BY21" s="1875"/>
      <c r="BZ21" s="1875"/>
      <c r="CA21" s="1875"/>
      <c r="CB21" s="1875"/>
      <c r="CC21" s="1875"/>
      <c r="CD21" s="1875"/>
      <c r="CE21" s="1875"/>
      <c r="CF21" s="1875"/>
      <c r="CG21" s="1875"/>
      <c r="CH21" s="1875"/>
      <c r="CI21" s="1875"/>
      <c r="CJ21" s="1875"/>
      <c r="CK21" s="1875"/>
      <c r="CL21" s="1877"/>
      <c r="CM21" s="1077"/>
      <c r="CN21" s="1077"/>
      <c r="CO21" s="1077"/>
      <c r="CP21" s="1077"/>
      <c r="CQ21" s="1077"/>
      <c r="CR21" s="1077"/>
      <c r="CS21" s="1077"/>
      <c r="CT21" s="1077"/>
      <c r="CU21" s="1077"/>
      <c r="CV21" s="1077"/>
      <c r="CW21" s="1077"/>
      <c r="CX21" s="1077"/>
      <c r="CY21" s="1077"/>
      <c r="CZ21" s="1077"/>
      <c r="DA21" s="1077"/>
      <c r="DB21" s="1077"/>
      <c r="DC21" s="1077"/>
      <c r="DD21" s="1077"/>
      <c r="DE21" s="1077"/>
      <c r="DF21" s="1077"/>
      <c r="DG21" s="1077"/>
      <c r="DH21" s="1077"/>
      <c r="DI21" s="1077"/>
      <c r="DJ21" s="1077"/>
      <c r="DK21" s="1077"/>
      <c r="DL21" s="1077"/>
      <c r="DM21" s="1077"/>
      <c r="DN21" s="1077"/>
      <c r="DO21" s="1077"/>
      <c r="DP21" s="1077"/>
      <c r="DQ21" s="1077"/>
      <c r="DR21" s="1077"/>
      <c r="DS21" s="1077"/>
      <c r="DT21" s="1077"/>
      <c r="DU21" s="1077"/>
      <c r="DV21" s="1077"/>
      <c r="DW21" s="1077"/>
      <c r="DX21" s="1077"/>
      <c r="DY21" s="1077"/>
      <c r="DZ21" s="1077"/>
      <c r="EA21" s="1077"/>
      <c r="EB21" s="1077"/>
      <c r="EC21" s="1077"/>
      <c r="ED21" s="1077"/>
      <c r="EE21" s="1077"/>
      <c r="EF21" s="1077"/>
      <c r="EG21" s="1077"/>
      <c r="EH21" s="1077"/>
      <c r="EI21" s="1077"/>
      <c r="EJ21" s="1077"/>
      <c r="EK21" s="1077"/>
      <c r="EL21" s="1077"/>
      <c r="EM21" s="1077"/>
      <c r="EN21" s="1077"/>
      <c r="EO21" s="1077"/>
      <c r="EP21" s="1077"/>
      <c r="EQ21" s="1077"/>
      <c r="ER21" s="1077"/>
      <c r="ES21" s="1077"/>
      <c r="ET21" s="1077"/>
      <c r="EU21" s="1077"/>
      <c r="EV21" s="1077"/>
      <c r="EW21" s="1077"/>
      <c r="EX21" s="1077"/>
      <c r="EY21" s="1077"/>
      <c r="EZ21" s="1077"/>
      <c r="FA21" s="1077"/>
      <c r="FB21" s="1077"/>
      <c r="FC21" s="1077"/>
      <c r="FD21" s="1077"/>
      <c r="FE21" s="1077"/>
      <c r="FF21" s="1077"/>
      <c r="FG21" s="1077"/>
      <c r="FH21" s="1077"/>
      <c r="FI21" s="1077"/>
      <c r="FJ21" s="1077"/>
      <c r="FK21" s="1077"/>
      <c r="FL21" s="1077"/>
      <c r="FM21" s="1077"/>
      <c r="FN21" s="1077"/>
      <c r="FO21" s="1077"/>
      <c r="FP21" s="1077"/>
      <c r="FQ21" s="1077"/>
      <c r="FR21" s="1077"/>
      <c r="FS21" s="1077"/>
      <c r="FT21" s="1077"/>
      <c r="FU21" s="1077"/>
      <c r="FV21" s="1078"/>
      <c r="FW21" s="1073"/>
      <c r="FX21" s="1074"/>
      <c r="FY21" s="1871"/>
      <c r="FZ21" s="1871"/>
      <c r="GA21" s="1871"/>
      <c r="GB21" s="1871"/>
    </row>
    <row r="22" spans="1:184" ht="24.75" customHeight="1">
      <c r="A22" s="1871" t="s">
        <v>1987</v>
      </c>
      <c r="B22" s="823"/>
      <c r="C22" s="824"/>
      <c r="D22" s="1871"/>
      <c r="E22" s="1060"/>
      <c r="F22" s="1079">
        <v>1</v>
      </c>
      <c r="G22" s="1878" t="s">
        <v>1101</v>
      </c>
      <c r="H22" s="1879" t="s">
        <v>68</v>
      </c>
      <c r="I22" s="1880"/>
      <c r="J22" s="1881"/>
      <c r="K22" s="1881"/>
      <c r="L22" s="1881"/>
      <c r="M22" s="1881"/>
      <c r="N22" s="1881"/>
      <c r="O22" s="1882"/>
      <c r="P22" s="1882"/>
      <c r="Q22" s="1882"/>
      <c r="R22" s="1882"/>
      <c r="S22" s="1882"/>
      <c r="T22" s="1882"/>
      <c r="U22" s="1882"/>
      <c r="V22" s="1882"/>
      <c r="W22" s="1882"/>
      <c r="X22" s="1882"/>
      <c r="Y22" s="1081"/>
      <c r="Z22" s="1081"/>
      <c r="AA22" s="1081"/>
      <c r="AB22" s="1882"/>
      <c r="AC22" s="1080"/>
      <c r="AD22" s="1881"/>
      <c r="AE22" s="1881"/>
      <c r="AF22" s="1881"/>
      <c r="AG22" s="1881"/>
      <c r="AH22" s="1881"/>
      <c r="AI22" s="1881"/>
      <c r="AJ22" s="1881"/>
      <c r="AK22" s="1881"/>
      <c r="AL22" s="1881"/>
      <c r="AM22" s="1881"/>
      <c r="AN22" s="1881"/>
      <c r="AO22" s="1881"/>
      <c r="AP22" s="1881"/>
      <c r="AQ22" s="1881"/>
      <c r="AR22" s="1881"/>
      <c r="AS22" s="1881"/>
      <c r="AT22" s="1881"/>
      <c r="AU22" s="1881"/>
      <c r="AV22" s="1881"/>
      <c r="AW22" s="1881"/>
      <c r="AX22" s="1881"/>
      <c r="AY22" s="1881"/>
      <c r="AZ22" s="1881"/>
      <c r="BA22" s="1881"/>
      <c r="BB22" s="1881"/>
      <c r="BC22" s="1881"/>
      <c r="BD22" s="1881"/>
      <c r="BE22" s="1881"/>
      <c r="BF22" s="1881"/>
      <c r="BG22" s="1881"/>
      <c r="BH22" s="1881"/>
      <c r="BI22" s="1881"/>
      <c r="BJ22" s="1881"/>
      <c r="BK22" s="1881"/>
      <c r="BL22" s="1881"/>
      <c r="BM22" s="1881"/>
      <c r="BN22" s="1881"/>
      <c r="BO22" s="1881"/>
      <c r="BP22" s="1881"/>
      <c r="BQ22" s="1881"/>
      <c r="BR22" s="1881"/>
      <c r="BS22" s="1881"/>
      <c r="BT22" s="1883"/>
      <c r="BU22" s="1883"/>
      <c r="BV22" s="1883"/>
      <c r="BW22" s="1883"/>
      <c r="BX22" s="1883"/>
      <c r="BY22" s="1883"/>
      <c r="BZ22" s="1883"/>
      <c r="CA22" s="1883"/>
      <c r="CB22" s="1883"/>
      <c r="CC22" s="1883"/>
      <c r="CD22" s="1883"/>
      <c r="CE22" s="1883"/>
      <c r="CF22" s="1883"/>
      <c r="CG22" s="1883"/>
      <c r="CH22" s="1883"/>
      <c r="CI22" s="1883"/>
      <c r="CJ22" s="1883"/>
      <c r="CK22" s="1883"/>
      <c r="CL22" s="1881"/>
      <c r="CM22" s="1080"/>
      <c r="CN22" s="1080"/>
      <c r="CO22" s="1080"/>
      <c r="CP22" s="1080"/>
      <c r="CQ22" s="1080"/>
      <c r="CR22" s="1080"/>
      <c r="CS22" s="1080"/>
      <c r="CT22" s="1080"/>
      <c r="CU22" s="1080"/>
      <c r="CV22" s="1080"/>
      <c r="CW22" s="1080"/>
      <c r="CX22" s="1080"/>
      <c r="CY22" s="1081"/>
      <c r="CZ22" s="1081"/>
      <c r="DA22" s="1081"/>
      <c r="DB22" s="1081"/>
      <c r="DC22" s="1081"/>
      <c r="DD22" s="1081"/>
      <c r="DE22" s="1081"/>
      <c r="DF22" s="1081"/>
      <c r="DG22" s="1081"/>
      <c r="DH22" s="1081"/>
      <c r="DI22" s="1081"/>
      <c r="DJ22" s="1081"/>
      <c r="DK22" s="1080"/>
      <c r="DL22" s="1080"/>
      <c r="DM22" s="1080"/>
      <c r="DN22" s="1080"/>
      <c r="DO22" s="1080"/>
      <c r="DP22" s="1080"/>
      <c r="DQ22" s="1080"/>
      <c r="DR22" s="1080"/>
      <c r="DS22" s="1080"/>
      <c r="DT22" s="1080"/>
      <c r="DU22" s="1080"/>
      <c r="DV22" s="1080"/>
      <c r="DW22" s="1080"/>
      <c r="DX22" s="1080"/>
      <c r="DY22" s="1080"/>
      <c r="DZ22" s="1080"/>
      <c r="EA22" s="1080"/>
      <c r="EB22" s="1080"/>
      <c r="EC22" s="1080"/>
      <c r="ED22" s="1080"/>
      <c r="EE22" s="1080"/>
      <c r="EF22" s="1080"/>
      <c r="EG22" s="1080"/>
      <c r="EH22" s="1080"/>
      <c r="EI22" s="1080"/>
      <c r="EJ22" s="1080"/>
      <c r="EK22" s="1080"/>
      <c r="EL22" s="1080"/>
      <c r="EM22" s="1080"/>
      <c r="EN22" s="1080"/>
      <c r="EO22" s="1080"/>
      <c r="EP22" s="1080"/>
      <c r="EQ22" s="1080"/>
      <c r="ER22" s="1080"/>
      <c r="ES22" s="1080"/>
      <c r="ET22" s="1080"/>
      <c r="EU22" s="1080"/>
      <c r="EV22" s="1080"/>
      <c r="EW22" s="1080"/>
      <c r="EX22" s="1080"/>
      <c r="EY22" s="1080"/>
      <c r="EZ22" s="1080"/>
      <c r="FA22" s="1080"/>
      <c r="FB22" s="1080"/>
      <c r="FC22" s="1080"/>
      <c r="FD22" s="1080"/>
      <c r="FE22" s="1080"/>
      <c r="FF22" s="1080"/>
      <c r="FG22" s="1080"/>
      <c r="FH22" s="1080"/>
      <c r="FI22" s="1080"/>
      <c r="FJ22" s="1080"/>
      <c r="FK22" s="1080"/>
      <c r="FL22" s="1080"/>
      <c r="FM22" s="1080"/>
      <c r="FN22" s="1080"/>
      <c r="FO22" s="1080"/>
      <c r="FP22" s="1080"/>
      <c r="FQ22" s="1080"/>
      <c r="FR22" s="1080"/>
      <c r="FS22" s="1080"/>
      <c r="FT22" s="1080"/>
      <c r="FU22" s="1080"/>
      <c r="FV22" s="1080"/>
      <c r="FW22" s="1080"/>
      <c r="FX22" s="1074"/>
      <c r="FY22" s="1871"/>
      <c r="FZ22" s="1871"/>
      <c r="GA22" s="1871"/>
      <c r="GB22" s="1871"/>
    </row>
    <row r="23" spans="1:184" ht="12" customHeight="1">
      <c r="A23" s="1871" t="s">
        <v>1987</v>
      </c>
      <c r="B23" s="823"/>
      <c r="C23" s="824"/>
      <c r="D23" s="1871"/>
      <c r="E23" s="1871"/>
      <c r="F23" s="1884"/>
      <c r="G23" s="1885" t="s">
        <v>1417</v>
      </c>
      <c r="H23" s="1886"/>
      <c r="I23" s="1886"/>
      <c r="J23" s="1886"/>
      <c r="K23" s="1886"/>
      <c r="L23" s="1886"/>
      <c r="M23" s="1886"/>
      <c r="N23" s="1886"/>
      <c r="O23" s="1886"/>
      <c r="P23" s="1886"/>
      <c r="Q23" s="1886"/>
      <c r="R23" s="1886"/>
      <c r="S23" s="1886"/>
      <c r="T23" s="1886"/>
      <c r="U23" s="1886"/>
      <c r="V23" s="1886"/>
      <c r="W23" s="1886"/>
      <c r="X23" s="1886"/>
      <c r="Y23" s="1082"/>
      <c r="Z23" s="1082"/>
      <c r="AA23" s="1082"/>
      <c r="AB23" s="1886"/>
      <c r="AC23" s="1082"/>
      <c r="AD23" s="1886"/>
      <c r="AE23" s="1886"/>
      <c r="AF23" s="1886"/>
      <c r="AG23" s="1886"/>
      <c r="AH23" s="1886"/>
      <c r="AI23" s="1886"/>
      <c r="AJ23" s="1886"/>
      <c r="AK23" s="1886"/>
      <c r="AL23" s="1886"/>
      <c r="AM23" s="1886"/>
      <c r="AN23" s="1886"/>
      <c r="AO23" s="1886"/>
      <c r="AP23" s="1886"/>
      <c r="AQ23" s="1886"/>
      <c r="AR23" s="1886"/>
      <c r="AS23" s="1886"/>
      <c r="AT23" s="1886"/>
      <c r="AU23" s="1886"/>
      <c r="AV23" s="1886"/>
      <c r="AW23" s="1886"/>
      <c r="AX23" s="1886"/>
      <c r="AY23" s="1886"/>
      <c r="AZ23" s="1886"/>
      <c r="BA23" s="1886"/>
      <c r="BB23" s="1886"/>
      <c r="BC23" s="1886"/>
      <c r="BD23" s="1886"/>
      <c r="BE23" s="1886"/>
      <c r="BF23" s="1886"/>
      <c r="BG23" s="1886"/>
      <c r="BH23" s="1886"/>
      <c r="BI23" s="1886"/>
      <c r="BJ23" s="1886"/>
      <c r="BK23" s="1886"/>
      <c r="BL23" s="1886"/>
      <c r="BM23" s="1886"/>
      <c r="BN23" s="1886"/>
      <c r="BO23" s="1886"/>
      <c r="BP23" s="1886"/>
      <c r="BQ23" s="1886"/>
      <c r="BR23" s="1886"/>
      <c r="BS23" s="1886"/>
      <c r="BT23" s="1886"/>
      <c r="BU23" s="1886"/>
      <c r="BV23" s="1886"/>
      <c r="BW23" s="1886"/>
      <c r="BX23" s="1886"/>
      <c r="BY23" s="1886"/>
      <c r="BZ23" s="1886"/>
      <c r="CA23" s="1886"/>
      <c r="CB23" s="1886"/>
      <c r="CC23" s="1886"/>
      <c r="CD23" s="1886"/>
      <c r="CE23" s="1886"/>
      <c r="CF23" s="1886"/>
      <c r="CG23" s="1886"/>
      <c r="CH23" s="1886"/>
      <c r="CI23" s="1886"/>
      <c r="CJ23" s="1886"/>
      <c r="CK23" s="1886"/>
      <c r="CL23" s="1886"/>
      <c r="CM23" s="1082"/>
      <c r="CN23" s="1082"/>
      <c r="CO23" s="1082"/>
      <c r="CP23" s="1082"/>
      <c r="CQ23" s="1082"/>
      <c r="CR23" s="1082"/>
      <c r="CS23" s="1082"/>
      <c r="CT23" s="1082"/>
      <c r="CU23" s="1082"/>
      <c r="CV23" s="1082"/>
      <c r="CW23" s="1082"/>
      <c r="CX23" s="1082"/>
      <c r="CY23" s="1082"/>
      <c r="CZ23" s="1082"/>
      <c r="DA23" s="1082"/>
      <c r="DB23" s="1082"/>
      <c r="DC23" s="1082"/>
      <c r="DD23" s="1082"/>
      <c r="DE23" s="1082"/>
      <c r="DF23" s="1082"/>
      <c r="DG23" s="1082"/>
      <c r="DH23" s="1082"/>
      <c r="DI23" s="1082"/>
      <c r="DJ23" s="1082"/>
      <c r="DK23" s="1082"/>
      <c r="DL23" s="1082"/>
      <c r="DM23" s="1082"/>
      <c r="DN23" s="1082"/>
      <c r="DO23" s="1082"/>
      <c r="DP23" s="1082"/>
      <c r="DQ23" s="1082"/>
      <c r="DR23" s="1082"/>
      <c r="DS23" s="1082"/>
      <c r="DT23" s="1082"/>
      <c r="DU23" s="1082"/>
      <c r="DV23" s="1082"/>
      <c r="DW23" s="1082"/>
      <c r="DX23" s="1082"/>
      <c r="DY23" s="1082"/>
      <c r="DZ23" s="1082"/>
      <c r="EA23" s="1082"/>
      <c r="EB23" s="1082"/>
      <c r="EC23" s="1082"/>
      <c r="ED23" s="1082"/>
      <c r="EE23" s="1082"/>
      <c r="EF23" s="1082"/>
      <c r="EG23" s="1082"/>
      <c r="EH23" s="1082"/>
      <c r="EI23" s="1082"/>
      <c r="EJ23" s="1082"/>
      <c r="EK23" s="1082"/>
      <c r="EL23" s="1082"/>
      <c r="EM23" s="1082"/>
      <c r="EN23" s="1082"/>
      <c r="EO23" s="1082"/>
      <c r="EP23" s="1082"/>
      <c r="EQ23" s="1082"/>
      <c r="ER23" s="1082"/>
      <c r="ES23" s="1082"/>
      <c r="ET23" s="1082"/>
      <c r="EU23" s="1082"/>
      <c r="EV23" s="1082"/>
      <c r="EW23" s="1082"/>
      <c r="EX23" s="1082"/>
      <c r="EY23" s="1082"/>
      <c r="EZ23" s="1082"/>
      <c r="FA23" s="1082"/>
      <c r="FB23" s="1082"/>
      <c r="FC23" s="1082"/>
      <c r="FD23" s="1082"/>
      <c r="FE23" s="1082"/>
      <c r="FF23" s="1082"/>
      <c r="FG23" s="1082"/>
      <c r="FH23" s="1082"/>
      <c r="FI23" s="1082"/>
      <c r="FJ23" s="1082"/>
      <c r="FK23" s="1082"/>
      <c r="FL23" s="1082"/>
      <c r="FM23" s="1082"/>
      <c r="FN23" s="1082"/>
      <c r="FO23" s="1082"/>
      <c r="FP23" s="1082"/>
      <c r="FQ23" s="1082"/>
      <c r="FR23" s="1082"/>
      <c r="FS23" s="1082"/>
      <c r="FT23" s="1082"/>
      <c r="FU23" s="1082"/>
      <c r="FV23" s="1082"/>
      <c r="FW23" s="1083"/>
      <c r="FX23" s="1084"/>
      <c r="FY23" s="838"/>
      <c r="FZ23" s="838"/>
      <c r="GA23" s="838"/>
      <c r="GB23" s="838"/>
    </row>
    <row r="24" spans="1:184" s="1871" customFormat="1" ht="12" customHeight="1">
      <c r="A24" s="838"/>
      <c r="B24" s="838"/>
      <c r="C24" s="838"/>
      <c r="D24" s="838"/>
      <c r="E24" s="838"/>
      <c r="F24" s="836"/>
      <c r="G24" s="836"/>
      <c r="H24" s="836"/>
      <c r="I24" s="836"/>
      <c r="J24" s="836"/>
      <c r="K24" s="836"/>
      <c r="L24" s="836"/>
      <c r="M24" s="836"/>
      <c r="N24" s="836"/>
      <c r="O24" s="836"/>
      <c r="P24" s="836"/>
      <c r="Q24" s="836"/>
      <c r="R24" s="836"/>
      <c r="S24" s="839"/>
      <c r="T24" s="839"/>
      <c r="U24" s="836"/>
      <c r="V24" s="836"/>
      <c r="W24" s="836"/>
      <c r="X24" s="836"/>
      <c r="Y24" s="836"/>
      <c r="Z24" s="836"/>
      <c r="AA24" s="836"/>
      <c r="AB24" s="836"/>
      <c r="AC24" s="836"/>
      <c r="AD24" s="836"/>
      <c r="AE24" s="836"/>
      <c r="AF24" s="836"/>
      <c r="AG24" s="836"/>
      <c r="AH24" s="836"/>
      <c r="AI24" s="836"/>
      <c r="AJ24" s="836"/>
      <c r="AK24" s="836"/>
      <c r="AL24" s="836"/>
      <c r="AM24" s="836"/>
      <c r="AN24" s="836"/>
      <c r="AO24" s="836"/>
      <c r="AP24" s="836"/>
      <c r="AQ24" s="836"/>
      <c r="AR24" s="836"/>
      <c r="AS24" s="836"/>
      <c r="AT24" s="836"/>
      <c r="AU24" s="836"/>
      <c r="AV24" s="836"/>
      <c r="AW24" s="836"/>
      <c r="AX24" s="836"/>
      <c r="AY24" s="836"/>
      <c r="AZ24" s="836"/>
      <c r="BA24" s="836"/>
      <c r="BB24" s="836"/>
      <c r="BC24" s="836"/>
      <c r="BD24" s="836"/>
      <c r="BE24" s="836"/>
      <c r="BF24" s="836"/>
      <c r="BG24" s="836"/>
      <c r="BH24" s="836"/>
      <c r="BI24" s="836"/>
      <c r="BJ24" s="836"/>
      <c r="BK24" s="836"/>
      <c r="BL24" s="836"/>
      <c r="BM24" s="836"/>
      <c r="BN24" s="836"/>
      <c r="BO24" s="836"/>
      <c r="BP24" s="836"/>
      <c r="BQ24" s="836"/>
      <c r="BR24" s="836"/>
      <c r="BS24" s="836"/>
      <c r="BT24" s="836"/>
      <c r="BU24" s="836"/>
      <c r="BV24" s="836"/>
      <c r="BW24" s="836"/>
      <c r="BX24" s="836"/>
      <c r="BY24" s="836"/>
      <c r="BZ24" s="836"/>
      <c r="CA24" s="836"/>
      <c r="CB24" s="836"/>
      <c r="CC24" s="836"/>
      <c r="CD24" s="836"/>
      <c r="CE24" s="836"/>
      <c r="CF24" s="836"/>
      <c r="CG24" s="836"/>
      <c r="CH24" s="836"/>
      <c r="CI24" s="836"/>
      <c r="CJ24" s="836"/>
      <c r="CK24" s="836"/>
      <c r="CL24" s="836"/>
      <c r="CM24" s="836"/>
      <c r="CN24" s="836"/>
      <c r="CO24" s="836"/>
      <c r="CP24" s="836"/>
      <c r="CQ24" s="836"/>
      <c r="CR24" s="836"/>
      <c r="CS24" s="836"/>
      <c r="CT24" s="836"/>
      <c r="CU24" s="836"/>
      <c r="CV24" s="836"/>
      <c r="CW24" s="836"/>
      <c r="CX24" s="836"/>
      <c r="CY24" s="836"/>
      <c r="CZ24" s="836"/>
      <c r="DA24" s="836"/>
      <c r="DB24" s="836"/>
      <c r="DC24" s="836"/>
      <c r="DD24" s="836"/>
      <c r="DE24" s="836"/>
      <c r="DF24" s="836"/>
      <c r="DG24" s="836"/>
      <c r="DH24" s="836"/>
      <c r="DI24" s="836"/>
      <c r="DJ24" s="836"/>
      <c r="DK24" s="836"/>
      <c r="DL24" s="836"/>
      <c r="DM24" s="836"/>
      <c r="DN24" s="836"/>
      <c r="DO24" s="836"/>
      <c r="DP24" s="836"/>
      <c r="DQ24" s="836"/>
      <c r="DR24" s="836"/>
      <c r="DS24" s="836"/>
      <c r="DT24" s="836"/>
      <c r="DU24" s="836"/>
      <c r="DV24" s="836"/>
      <c r="DW24" s="836"/>
      <c r="DX24" s="836"/>
      <c r="DY24" s="836"/>
      <c r="DZ24" s="836"/>
      <c r="EA24" s="836"/>
      <c r="EB24" s="836"/>
      <c r="EC24" s="836"/>
      <c r="ED24" s="836"/>
      <c r="EE24" s="836"/>
      <c r="EF24" s="836"/>
      <c r="EG24" s="836"/>
      <c r="EH24" s="836"/>
      <c r="EI24" s="836"/>
      <c r="EJ24" s="836"/>
      <c r="EK24" s="836"/>
      <c r="EL24" s="836"/>
      <c r="EM24" s="836"/>
      <c r="EN24" s="836"/>
      <c r="EO24" s="836"/>
      <c r="EP24" s="836"/>
      <c r="EQ24" s="836"/>
      <c r="ER24" s="836"/>
      <c r="ES24" s="836"/>
      <c r="ET24" s="836"/>
      <c r="EU24" s="836"/>
      <c r="EV24" s="836"/>
      <c r="EW24" s="836"/>
      <c r="EX24" s="836"/>
      <c r="EY24" s="836"/>
      <c r="EZ24" s="836"/>
      <c r="FA24" s="836"/>
      <c r="FB24" s="836"/>
      <c r="FC24" s="836"/>
      <c r="FD24" s="836"/>
      <c r="FE24" s="836"/>
      <c r="FF24" s="836"/>
      <c r="FG24" s="836"/>
      <c r="FH24" s="836"/>
      <c r="FI24" s="836"/>
      <c r="FJ24" s="836"/>
      <c r="FK24" s="836"/>
      <c r="FL24" s="836"/>
      <c r="FM24" s="836"/>
      <c r="FN24" s="836"/>
      <c r="FO24" s="836"/>
      <c r="FP24" s="836"/>
      <c r="FQ24" s="836"/>
      <c r="FR24" s="836"/>
      <c r="FS24" s="836"/>
      <c r="FT24" s="836"/>
      <c r="FU24" s="836"/>
      <c r="FV24" s="836"/>
      <c r="FW24" s="836"/>
      <c r="FX24" s="838"/>
      <c r="FY24" s="838"/>
      <c r="FZ24" s="838"/>
      <c r="GA24" s="838"/>
      <c r="GB24" s="838"/>
    </row>
    <row r="25" spans="1:184" s="1871" customFormat="1" ht="12" customHeight="1">
      <c r="A25" s="838"/>
      <c r="B25" s="838"/>
      <c r="C25" s="838"/>
      <c r="D25" s="838"/>
      <c r="E25" s="838"/>
      <c r="FX25" s="838"/>
      <c r="FY25" s="838"/>
      <c r="FZ25" s="838"/>
      <c r="GA25" s="838"/>
      <c r="GB25" s="838"/>
    </row>
    <row r="26" spans="1:184" s="1738" customFormat="1" ht="12" customHeight="1">
      <c r="A26" s="949"/>
      <c r="B26" s="949"/>
      <c r="C26" s="949"/>
      <c r="D26" s="949"/>
      <c r="E26" s="949"/>
      <c r="O26" s="950"/>
      <c r="P26" s="950"/>
      <c r="Q26" s="950"/>
      <c r="R26" s="950"/>
      <c r="S26" s="950"/>
      <c r="T26" s="950"/>
      <c r="U26" s="950"/>
      <c r="V26" s="950"/>
      <c r="W26" s="950"/>
      <c r="X26" s="950"/>
      <c r="Y26" s="950"/>
      <c r="Z26" s="950"/>
      <c r="AA26" s="950"/>
      <c r="AB26" s="950"/>
      <c r="AC26" s="950"/>
      <c r="AD26" s="950"/>
      <c r="AE26" s="950"/>
      <c r="AF26" s="950"/>
      <c r="AG26" s="950"/>
      <c r="AH26" s="950"/>
      <c r="AI26" s="950"/>
      <c r="AJ26" s="950"/>
      <c r="AK26" s="950"/>
      <c r="AL26" s="950"/>
      <c r="AM26" s="950"/>
      <c r="AN26" s="950"/>
      <c r="AO26" s="950"/>
      <c r="AP26" s="950"/>
      <c r="AQ26" s="950"/>
      <c r="AR26" s="950"/>
      <c r="AS26" s="950"/>
      <c r="AT26" s="950"/>
      <c r="AU26" s="950"/>
      <c r="AV26" s="950"/>
      <c r="AW26" s="950"/>
      <c r="AX26" s="950"/>
      <c r="AY26" s="950"/>
      <c r="AZ26" s="950"/>
      <c r="BA26" s="950"/>
      <c r="BB26" s="950"/>
      <c r="BC26" s="950"/>
      <c r="BD26" s="950"/>
      <c r="BE26" s="950"/>
      <c r="BF26" s="950"/>
      <c r="BG26" s="950"/>
      <c r="BH26" s="950"/>
      <c r="BI26" s="950"/>
      <c r="BJ26" s="950"/>
      <c r="BK26" s="950"/>
      <c r="BL26" s="950"/>
      <c r="BM26" s="950"/>
      <c r="BN26" s="950"/>
      <c r="BO26" s="950"/>
      <c r="BP26" s="950"/>
      <c r="BQ26" s="950"/>
      <c r="BR26" s="950"/>
      <c r="BS26" s="950"/>
      <c r="BT26" s="951"/>
      <c r="BU26" s="951"/>
      <c r="BV26" s="951"/>
      <c r="BW26" s="951"/>
      <c r="BX26" s="951"/>
      <c r="BY26" s="951"/>
      <c r="BZ26" s="951"/>
      <c r="CA26" s="951"/>
      <c r="CB26" s="951"/>
      <c r="CC26" s="951"/>
      <c r="CD26" s="951"/>
      <c r="CE26" s="951"/>
      <c r="CF26" s="951"/>
      <c r="CG26" s="951"/>
      <c r="CH26" s="951"/>
      <c r="CI26" s="951"/>
      <c r="CJ26" s="951"/>
      <c r="CK26" s="951"/>
      <c r="CL26" s="951"/>
      <c r="CM26" s="951"/>
      <c r="CN26" s="951"/>
      <c r="CO26" s="951"/>
      <c r="CP26" s="951"/>
      <c r="CQ26" s="951"/>
      <c r="CR26" s="951"/>
      <c r="CS26" s="951"/>
      <c r="CT26" s="951"/>
      <c r="CU26" s="951"/>
      <c r="CV26" s="951"/>
      <c r="CW26" s="951"/>
      <c r="CX26" s="951"/>
      <c r="CY26" s="951"/>
      <c r="CZ26" s="951"/>
      <c r="DA26" s="951"/>
      <c r="DB26" s="951"/>
      <c r="DC26" s="951"/>
      <c r="DD26" s="951"/>
      <c r="DE26" s="951"/>
      <c r="DF26" s="951"/>
      <c r="DG26" s="951"/>
      <c r="DH26" s="951"/>
      <c r="DI26" s="951"/>
      <c r="DJ26" s="951"/>
      <c r="DK26" s="951"/>
      <c r="DL26" s="951"/>
      <c r="DM26" s="951"/>
      <c r="DN26" s="951"/>
      <c r="DO26" s="951"/>
      <c r="DP26" s="951"/>
      <c r="DQ26" s="951"/>
      <c r="DR26" s="951"/>
      <c r="DS26" s="951"/>
      <c r="DT26" s="951"/>
      <c r="DU26" s="951"/>
      <c r="DV26" s="951"/>
      <c r="DW26" s="951"/>
      <c r="DX26" s="951"/>
      <c r="FX26" s="949"/>
      <c r="FY26" s="949"/>
      <c r="FZ26" s="949"/>
      <c r="GA26" s="949"/>
      <c r="GB26" s="949"/>
    </row>
    <row r="27" spans="1:184" ht="12" customHeight="1">
      <c r="S27" s="835"/>
      <c r="T27" s="835"/>
      <c r="U27" s="835"/>
      <c r="V27" s="835"/>
      <c r="W27" s="835"/>
      <c r="X27" s="835"/>
      <c r="Y27" s="835"/>
      <c r="Z27" s="835"/>
      <c r="AA27" s="835"/>
      <c r="AB27" s="835"/>
      <c r="FX27" s="835"/>
      <c r="FY27" s="835"/>
      <c r="FZ27" s="835"/>
      <c r="GA27" s="835"/>
      <c r="GB27" s="835"/>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2">
    <dataValidation allowBlank="1" showInputMessage="1" showErrorMessage="1" sqref="AA14:AB16 U16:Z16"/>
    <dataValidation type="list" allowBlank="1" showInputMessage="1" showErrorMessage="1" errorTitle="Ошибка" error="Выберите значение из списка" prompt="Выберите значение из списка" sqref="H22">
      <formula1>QRE_METHOD_LIST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workbookViewId="0"/>
  </sheetViews>
  <sheetFormatPr defaultColWidth="10.5703125" defaultRowHeight="14.25" customHeight="1"/>
  <cols>
    <col min="1" max="1" width="10.5703125" style="1759" hidden="1"/>
    <col min="2" max="2" width="11" style="1759" hidden="1" customWidth="1"/>
    <col min="3" max="3" width="10.5703125" style="1759" hidden="1"/>
    <col min="4" max="4" width="11.85546875" style="1759" hidden="1" customWidth="1"/>
    <col min="5" max="5" width="10" style="1759" hidden="1" customWidth="1"/>
    <col min="6" max="6" width="8.7109375" style="1759" hidden="1" customWidth="1"/>
    <col min="7" max="7" width="7.5703125" style="1759" hidden="1" customWidth="1"/>
    <col min="8" max="8" width="11.42578125" style="1759" hidden="1" customWidth="1"/>
    <col min="9" max="9" width="14.140625" style="1759" hidden="1" customWidth="1"/>
    <col min="10" max="10" width="9.85546875" style="1759" hidden="1" customWidth="1"/>
    <col min="11" max="11" width="14.7109375" style="1759" hidden="1" customWidth="1"/>
    <col min="12" max="12" width="19.140625" style="1758" hidden="1" customWidth="1"/>
    <col min="13" max="14" width="12.28515625" style="1686" hidden="1" customWidth="1"/>
    <col min="15" max="15" width="23.42578125" style="1686" hidden="1" customWidth="1"/>
    <col min="16" max="16" width="3.7109375" style="1740" customWidth="1"/>
    <col min="17" max="18" width="3.7109375" style="1677" customWidth="1"/>
    <col min="19" max="19" width="12.7109375" style="1727" customWidth="1"/>
    <col min="20" max="20" width="35.7109375" style="1846" customWidth="1"/>
    <col min="21" max="21" width="0.140625" style="1846" customWidth="1"/>
    <col min="22" max="24" width="24.7109375" style="1846" hidden="1" customWidth="1"/>
    <col min="25" max="25" width="11.7109375" style="1846" hidden="1" customWidth="1"/>
    <col min="26" max="26" width="3.7109375" style="1846" hidden="1" customWidth="1"/>
    <col min="27" max="27" width="11.7109375" style="1846" hidden="1" customWidth="1"/>
    <col min="28" max="28" width="8.5703125" style="1846" hidden="1" customWidth="1"/>
    <col min="29" max="31" width="24.7109375" style="1846" customWidth="1"/>
    <col min="32" max="32" width="11.7109375" style="1846" customWidth="1"/>
    <col min="33" max="33" width="3.7109375" style="1846" customWidth="1"/>
    <col min="34" max="34" width="11.7109375" style="1846" customWidth="1"/>
    <col min="35" max="35" width="8.5703125" style="1846" hidden="1" customWidth="1"/>
    <col min="36" max="36" width="4.7109375" style="1846" customWidth="1"/>
    <col min="37" max="37" width="115.7109375" style="1846" customWidth="1"/>
    <col min="38" max="39" width="10.5703125" style="1772"/>
    <col min="40" max="40" width="11.140625" style="1772" customWidth="1"/>
    <col min="41" max="42" width="10.5703125" style="1772"/>
  </cols>
  <sheetData>
    <row r="1" spans="1:42" ht="14.25" hidden="1" customHeight="1">
      <c r="X1" s="254"/>
      <c r="Y1" s="254"/>
      <c r="AE1" s="254"/>
      <c r="AF1" s="254"/>
    </row>
    <row r="2" spans="1:42" ht="23.25" hidden="1" customHeight="1">
      <c r="A2" s="1244"/>
      <c r="B2" s="1244"/>
      <c r="C2" s="1244"/>
      <c r="D2" s="1244"/>
      <c r="E2" s="2235">
        <v>1</v>
      </c>
      <c r="F2" s="1244"/>
      <c r="G2" s="1244"/>
      <c r="H2" s="1244"/>
      <c r="I2" s="1244"/>
      <c r="J2" s="1244"/>
      <c r="K2" s="1244"/>
      <c r="L2" s="1245"/>
      <c r="M2" s="1246"/>
      <c r="N2" s="1246"/>
      <c r="O2" s="1246"/>
      <c r="P2" s="285"/>
      <c r="Q2" s="284"/>
      <c r="R2" s="279"/>
      <c r="S2" s="1355" t="e">
        <f>INDEX(PT_DIFFERENTIATION_NUM_NTAR,MATCH(A2,PT_DIFFERENTIATION_NTAR_ID,0))</f>
        <v>#N/A</v>
      </c>
      <c r="T2" s="216" t="s">
        <v>124</v>
      </c>
      <c r="U2" s="218"/>
      <c r="V2" s="2229"/>
      <c r="W2" s="2230"/>
      <c r="X2" s="2230"/>
      <c r="Y2" s="2230"/>
      <c r="Z2" s="2230"/>
      <c r="AA2" s="2230"/>
      <c r="AB2" s="2231"/>
      <c r="AC2" s="2229" t="e">
        <f>INDEX(PT_DIFFERENTIATION_NTAR,MATCH(A2,PT_DIFFERENTIATION_NTAR_ID,0))</f>
        <v>#N/A</v>
      </c>
      <c r="AD2" s="2230"/>
      <c r="AE2" s="2230"/>
      <c r="AF2" s="2230"/>
      <c r="AG2" s="2230"/>
      <c r="AH2" s="2230"/>
      <c r="AI2" s="2230"/>
      <c r="AJ2" s="2231"/>
      <c r="AK2" s="114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8"/>
      <c r="AN2" s="428" t="str">
        <f t="shared" ref="AN2:AN13" si="0">IF(T2="","",T2)</f>
        <v>Наименование тарифа</v>
      </c>
      <c r="AO2" s="428"/>
      <c r="AP2" s="428"/>
    </row>
    <row r="3" spans="1:42" ht="23.25" hidden="1" customHeight="1">
      <c r="A3" s="1244"/>
      <c r="B3" s="1244"/>
      <c r="C3" s="1244"/>
      <c r="D3" s="1244"/>
      <c r="E3" s="2236"/>
      <c r="F3" s="2235">
        <v>1</v>
      </c>
      <c r="G3" s="1244"/>
      <c r="H3" s="1244"/>
      <c r="I3" s="1244"/>
      <c r="J3" s="1244"/>
      <c r="K3" s="1244"/>
      <c r="L3" s="1245"/>
      <c r="M3" s="1246"/>
      <c r="N3" s="1246"/>
      <c r="O3" s="1246"/>
      <c r="P3" s="1349"/>
      <c r="Q3" s="276"/>
      <c r="R3" s="277"/>
      <c r="S3" s="1355" t="e">
        <f>INDEX(PT_DIFFERENTIATION_NUM_TER,MATCH(B3,PT_DIFFERENTIATION_TER_ID,0))</f>
        <v>#N/A</v>
      </c>
      <c r="T3" s="228" t="s">
        <v>1461</v>
      </c>
      <c r="U3" s="218"/>
      <c r="V3" s="2229"/>
      <c r="W3" s="2230"/>
      <c r="X3" s="2230"/>
      <c r="Y3" s="2230"/>
      <c r="Z3" s="2230"/>
      <c r="AA3" s="2230"/>
      <c r="AB3" s="2231"/>
      <c r="AC3" s="2229" t="e">
        <f>INDEX(PT_DIFFERENTIATION_TER,MATCH(B3,PT_DIFFERENTIATION_TER_ID,0))</f>
        <v>#N/A</v>
      </c>
      <c r="AD3" s="2230"/>
      <c r="AE3" s="2230"/>
      <c r="AF3" s="2230"/>
      <c r="AG3" s="2230"/>
      <c r="AH3" s="2230"/>
      <c r="AI3" s="2230"/>
      <c r="AJ3" s="2231"/>
      <c r="AK3" s="1140" t="s">
        <v>1462</v>
      </c>
      <c r="AM3" s="428"/>
      <c r="AN3" s="428" t="str">
        <f t="shared" si="0"/>
        <v>Территория действия тарифа</v>
      </c>
      <c r="AO3" s="428"/>
      <c r="AP3" s="428"/>
    </row>
    <row r="4" spans="1:42" ht="23.25" hidden="1" customHeight="1">
      <c r="A4" s="1244"/>
      <c r="B4" s="1244"/>
      <c r="C4" s="1244"/>
      <c r="D4" s="1244"/>
      <c r="E4" s="2236"/>
      <c r="F4" s="2236"/>
      <c r="G4" s="2235">
        <v>1</v>
      </c>
      <c r="H4" s="1244"/>
      <c r="I4" s="1244"/>
      <c r="J4" s="1244"/>
      <c r="K4" s="1244"/>
      <c r="L4" s="1245"/>
      <c r="M4" s="1246"/>
      <c r="N4" s="1246"/>
      <c r="O4" s="1246"/>
      <c r="P4" s="278"/>
      <c r="Q4" s="276"/>
      <c r="R4" s="277"/>
      <c r="S4" s="1355" t="e">
        <f>INDEX(PT_DIFFERENTIATION_NUM_CS,MATCH(C4,PT_DIFFERENTIATION_CS_ID,0))</f>
        <v>#N/A</v>
      </c>
      <c r="T4" s="229" t="s">
        <v>2098</v>
      </c>
      <c r="U4" s="218"/>
      <c r="V4" s="2229"/>
      <c r="W4" s="2230"/>
      <c r="X4" s="2230"/>
      <c r="Y4" s="2230"/>
      <c r="Z4" s="2230"/>
      <c r="AA4" s="2230"/>
      <c r="AB4" s="2231"/>
      <c r="AC4" s="2229" t="e">
        <f>INDEX(PT_DIFFERENTIATION_CS,MATCH(C4,PT_DIFFERENTIATION_CS_ID,0))</f>
        <v>#N/A</v>
      </c>
      <c r="AD4" s="2230"/>
      <c r="AE4" s="2230"/>
      <c r="AF4" s="2230"/>
      <c r="AG4" s="2230"/>
      <c r="AH4" s="2230"/>
      <c r="AI4" s="2230"/>
      <c r="AJ4" s="2231"/>
      <c r="AK4" s="1140" t="s">
        <v>2099</v>
      </c>
      <c r="AM4" s="428"/>
      <c r="AN4" s="428" t="str">
        <f t="shared" si="0"/>
        <v>Наименование централизованной системы горячего водоснабжения</v>
      </c>
      <c r="AO4" s="428"/>
      <c r="AP4" s="428"/>
    </row>
    <row r="5" spans="1:42" ht="23.25" hidden="1" customHeight="1">
      <c r="A5" s="1244"/>
      <c r="B5" s="1244"/>
      <c r="C5" s="1244"/>
      <c r="D5" s="1244"/>
      <c r="E5" s="2236"/>
      <c r="F5" s="2236"/>
      <c r="G5" s="2236"/>
      <c r="H5" s="2236"/>
      <c r="I5" s="2237" t="e">
        <f>S4&amp;".1"</f>
        <v>#N/A</v>
      </c>
      <c r="J5" s="1244"/>
      <c r="K5" s="1244"/>
      <c r="L5" s="1245"/>
      <c r="P5" s="2157">
        <v>1</v>
      </c>
      <c r="Q5" s="1343"/>
      <c r="R5" s="280"/>
      <c r="S5" s="1355" t="e">
        <f>$I5</f>
        <v>#N/A</v>
      </c>
      <c r="T5" s="203" t="s">
        <v>1678</v>
      </c>
      <c r="U5" s="218"/>
      <c r="V5" s="2327"/>
      <c r="W5" s="2328"/>
      <c r="X5" s="2328"/>
      <c r="Y5" s="2328"/>
      <c r="Z5" s="2328"/>
      <c r="AA5" s="2328"/>
      <c r="AB5" s="2329"/>
      <c r="AC5" s="2330"/>
      <c r="AD5" s="2331"/>
      <c r="AE5" s="2331"/>
      <c r="AF5" s="2331"/>
      <c r="AG5" s="2331"/>
      <c r="AH5" s="2331"/>
      <c r="AI5" s="2331"/>
      <c r="AJ5" s="2332"/>
      <c r="AK5" s="1140" t="s">
        <v>1679</v>
      </c>
      <c r="AM5" s="428"/>
      <c r="AN5" s="428" t="str">
        <f t="shared" si="0"/>
        <v>Наименование признака дифференциации</v>
      </c>
      <c r="AO5" s="428"/>
      <c r="AP5" s="428"/>
    </row>
    <row r="6" spans="1:42" ht="23.25" hidden="1" customHeight="1">
      <c r="A6" s="1244"/>
      <c r="B6" s="1244"/>
      <c r="C6" s="1244"/>
      <c r="D6" s="1244"/>
      <c r="E6" s="2236"/>
      <c r="F6" s="2236"/>
      <c r="G6" s="2236"/>
      <c r="H6" s="2236"/>
      <c r="I6" s="2238"/>
      <c r="J6" s="2237" t="e">
        <f>I5&amp;".1"</f>
        <v>#N/A</v>
      </c>
      <c r="K6" s="1244"/>
      <c r="L6" s="1245" t="s">
        <v>1470</v>
      </c>
      <c r="P6" s="2157"/>
      <c r="Q6" s="2157">
        <v>1</v>
      </c>
      <c r="R6" s="281"/>
      <c r="S6" s="1355" t="e">
        <f>$J6</f>
        <v>#N/A</v>
      </c>
      <c r="T6" s="204" t="s">
        <v>1471</v>
      </c>
      <c r="U6" s="218"/>
      <c r="V6" s="2224"/>
      <c r="W6" s="2225"/>
      <c r="X6" s="2225"/>
      <c r="Y6" s="2225"/>
      <c r="Z6" s="2225"/>
      <c r="AA6" s="2225"/>
      <c r="AB6" s="2226"/>
      <c r="AC6" s="2224"/>
      <c r="AD6" s="2225"/>
      <c r="AE6" s="2225"/>
      <c r="AF6" s="2225"/>
      <c r="AG6" s="2225"/>
      <c r="AH6" s="2225"/>
      <c r="AI6" s="2225"/>
      <c r="AJ6" s="2226"/>
      <c r="AK6" s="1194" t="s">
        <v>1680</v>
      </c>
      <c r="AM6" s="428"/>
      <c r="AN6" s="428" t="str">
        <f t="shared" si="0"/>
        <v>Группа потребителей</v>
      </c>
      <c r="AO6" s="428"/>
      <c r="AP6" s="428"/>
    </row>
    <row r="7" spans="1:42" ht="23.25" hidden="1" customHeight="1">
      <c r="A7" s="1244"/>
      <c r="B7" s="1244"/>
      <c r="C7" s="1244"/>
      <c r="D7" s="1244"/>
      <c r="E7" s="2236"/>
      <c r="F7" s="2236"/>
      <c r="G7" s="2236"/>
      <c r="H7" s="2236"/>
      <c r="I7" s="2238"/>
      <c r="J7" s="2238"/>
      <c r="K7" s="2237" t="e">
        <f>J6&amp;".1"</f>
        <v>#N/A</v>
      </c>
      <c r="L7" s="1245"/>
      <c r="P7" s="2157"/>
      <c r="Q7" s="2157"/>
      <c r="R7" s="281">
        <v>1</v>
      </c>
      <c r="S7" s="1355" t="e">
        <f>$K7</f>
        <v>#N/A</v>
      </c>
      <c r="T7" s="1306"/>
      <c r="U7" s="218"/>
      <c r="V7" s="1667"/>
      <c r="W7" s="1667"/>
      <c r="X7" s="1669"/>
      <c r="Y7" s="2239"/>
      <c r="Z7" s="2031" t="s">
        <v>66</v>
      </c>
      <c r="AA7" s="2239"/>
      <c r="AB7" s="2031" t="s">
        <v>66</v>
      </c>
      <c r="AC7" s="1667"/>
      <c r="AD7" s="1667"/>
      <c r="AE7" s="1669"/>
      <c r="AF7" s="2239"/>
      <c r="AG7" s="2031" t="s">
        <v>66</v>
      </c>
      <c r="AH7" s="2241"/>
      <c r="AI7" s="2031" t="s">
        <v>66</v>
      </c>
      <c r="AJ7" s="1706"/>
      <c r="AK7" s="233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9" t="e">
        <f ca="1">STRCHECKDATE(V8:AJ8)</f>
        <v>#NAME?</v>
      </c>
      <c r="AM7" s="428"/>
      <c r="AN7" s="428" t="str">
        <f t="shared" si="0"/>
        <v/>
      </c>
      <c r="AO7" s="428"/>
      <c r="AP7" s="428"/>
    </row>
    <row r="8" spans="1:42" ht="0.75" hidden="1" customHeight="1">
      <c r="A8" s="1244"/>
      <c r="B8" s="1244"/>
      <c r="C8" s="1244"/>
      <c r="D8" s="1244"/>
      <c r="E8" s="2236"/>
      <c r="F8" s="2236"/>
      <c r="G8" s="2236"/>
      <c r="H8" s="2236"/>
      <c r="I8" s="2238"/>
      <c r="J8" s="2238"/>
      <c r="K8" s="2237"/>
      <c r="L8" s="1245"/>
      <c r="P8" s="2157"/>
      <c r="Q8" s="2157"/>
      <c r="R8" s="281"/>
      <c r="S8" s="1352"/>
      <c r="T8" s="218"/>
      <c r="U8" s="218"/>
      <c r="V8" s="1668"/>
      <c r="W8" s="1668"/>
      <c r="X8" s="1670" t="str">
        <f>Y7&amp;"-"&amp;AA7</f>
        <v>-</v>
      </c>
      <c r="Y8" s="2240"/>
      <c r="Z8" s="2031"/>
      <c r="AA8" s="2240"/>
      <c r="AB8" s="2031"/>
      <c r="AC8" s="1668"/>
      <c r="AD8" s="1668"/>
      <c r="AE8" s="1670" t="str">
        <f>AF7&amp;"-"&amp;AH7</f>
        <v>-</v>
      </c>
      <c r="AF8" s="2240"/>
      <c r="AG8" s="2031"/>
      <c r="AH8" s="2242"/>
      <c r="AI8" s="2031"/>
      <c r="AJ8" s="1707"/>
      <c r="AK8" s="2333"/>
      <c r="AM8" s="428"/>
      <c r="AN8" s="428" t="str">
        <f t="shared" si="0"/>
        <v/>
      </c>
      <c r="AO8" s="428"/>
      <c r="AP8" s="428"/>
    </row>
    <row r="9" spans="1:42" ht="21" hidden="1" customHeight="1">
      <c r="A9" s="1244"/>
      <c r="B9" s="1244"/>
      <c r="C9" s="1244"/>
      <c r="D9" s="1244"/>
      <c r="E9" s="2236"/>
      <c r="F9" s="2236"/>
      <c r="G9" s="2236"/>
      <c r="H9" s="2236"/>
      <c r="I9" s="2238"/>
      <c r="J9" s="2237"/>
      <c r="K9" s="1244"/>
      <c r="L9" s="1245"/>
      <c r="P9" s="2157"/>
      <c r="Q9" s="2157"/>
      <c r="R9" s="280"/>
      <c r="S9" s="1161"/>
      <c r="T9" s="205" t="s">
        <v>1681</v>
      </c>
      <c r="U9" s="294"/>
      <c r="V9" s="294"/>
      <c r="W9" s="294"/>
      <c r="X9" s="294"/>
      <c r="Y9" s="294"/>
      <c r="Z9" s="294"/>
      <c r="AA9" s="294"/>
      <c r="AB9" s="294"/>
      <c r="AC9" s="294"/>
      <c r="AD9" s="294"/>
      <c r="AE9" s="294"/>
      <c r="AF9" s="294"/>
      <c r="AG9" s="294"/>
      <c r="AH9" s="294"/>
      <c r="AI9" s="294"/>
      <c r="AJ9" s="294"/>
      <c r="AK9" s="1140" t="s">
        <v>1682</v>
      </c>
      <c r="AM9" s="428"/>
      <c r="AN9" s="428" t="str">
        <f t="shared" si="0"/>
        <v>Добавить значение признака дифференциации</v>
      </c>
      <c r="AO9" s="428"/>
      <c r="AP9" s="428"/>
    </row>
    <row r="10" spans="1:42" ht="21" hidden="1" customHeight="1">
      <c r="A10" s="1244"/>
      <c r="B10" s="1244"/>
      <c r="C10" s="1244"/>
      <c r="D10" s="1244"/>
      <c r="E10" s="2236"/>
      <c r="F10" s="2236"/>
      <c r="G10" s="2236"/>
      <c r="H10" s="2236"/>
      <c r="I10" s="2237"/>
      <c r="J10" s="1244"/>
      <c r="K10" s="1244"/>
      <c r="L10" s="1245"/>
      <c r="P10" s="2157"/>
      <c r="Q10" s="1343"/>
      <c r="R10" s="280"/>
      <c r="S10" s="1161"/>
      <c r="T10" s="291" t="s">
        <v>1476</v>
      </c>
      <c r="U10" s="294"/>
      <c r="V10" s="294"/>
      <c r="W10" s="294"/>
      <c r="X10" s="294"/>
      <c r="Y10" s="294"/>
      <c r="Z10" s="294"/>
      <c r="AA10" s="294"/>
      <c r="AB10" s="293"/>
      <c r="AC10" s="294"/>
      <c r="AD10" s="294"/>
      <c r="AE10" s="294"/>
      <c r="AF10" s="294"/>
      <c r="AG10" s="294"/>
      <c r="AH10" s="294"/>
      <c r="AI10" s="293"/>
      <c r="AJ10" s="294"/>
      <c r="AK10" s="1307"/>
      <c r="AM10" s="428"/>
      <c r="AN10" s="428" t="str">
        <f t="shared" si="0"/>
        <v>Добавить группу потребителей</v>
      </c>
      <c r="AO10" s="428"/>
      <c r="AP10" s="428"/>
    </row>
    <row r="11" spans="1:42" ht="21" hidden="1" customHeight="1">
      <c r="A11" s="1244"/>
      <c r="B11" s="1244"/>
      <c r="C11" s="1244"/>
      <c r="D11" s="1244"/>
      <c r="E11" s="2236"/>
      <c r="F11" s="2236"/>
      <c r="G11" s="2236"/>
      <c r="H11" s="2235"/>
      <c r="I11" s="1244"/>
      <c r="J11" s="1244"/>
      <c r="K11" s="1244"/>
      <c r="L11" s="1245"/>
      <c r="M11" s="1246"/>
      <c r="N11" s="1246"/>
      <c r="O11" s="464"/>
      <c r="P11" s="284"/>
      <c r="Q11" s="303"/>
      <c r="R11" s="279"/>
      <c r="S11" s="1161"/>
      <c r="T11" s="299" t="s">
        <v>1683</v>
      </c>
      <c r="U11" s="294"/>
      <c r="V11" s="294"/>
      <c r="W11" s="294"/>
      <c r="X11" s="294"/>
      <c r="Y11" s="294"/>
      <c r="Z11" s="294"/>
      <c r="AA11" s="294"/>
      <c r="AB11" s="293"/>
      <c r="AC11" s="294"/>
      <c r="AD11" s="294"/>
      <c r="AE11" s="294"/>
      <c r="AF11" s="294"/>
      <c r="AG11" s="294"/>
      <c r="AH11" s="294"/>
      <c r="AI11" s="293"/>
      <c r="AJ11" s="294"/>
      <c r="AK11" s="221"/>
      <c r="AM11" s="428"/>
      <c r="AN11" s="428" t="str">
        <f t="shared" si="0"/>
        <v>Добавить наименование признака дифференциации</v>
      </c>
      <c r="AO11" s="428"/>
      <c r="AP11" s="428"/>
    </row>
    <row r="12" spans="1:42" s="1772" customFormat="1" ht="0.75" hidden="1" customHeight="1">
      <c r="A12" s="1228"/>
      <c r="B12" s="1228"/>
      <c r="C12" s="1200"/>
      <c r="D12" s="1200"/>
      <c r="E12" s="2236"/>
      <c r="F12" s="2235"/>
      <c r="G12" s="1200"/>
      <c r="H12" s="1200"/>
      <c r="I12" s="1200"/>
      <c r="J12" s="1200"/>
      <c r="K12" s="1200"/>
      <c r="L12" s="1356"/>
      <c r="M12" s="1207"/>
      <c r="N12" s="1207"/>
      <c r="P12" s="1202"/>
      <c r="Q12" s="1203"/>
      <c r="R12" s="1202"/>
      <c r="S12" s="1208"/>
      <c r="T12" s="1211" t="s">
        <v>1437</v>
      </c>
      <c r="U12" s="1210"/>
      <c r="V12" s="1210"/>
      <c r="W12" s="1210"/>
      <c r="X12" s="1210"/>
      <c r="Y12" s="1210"/>
      <c r="Z12" s="1210"/>
      <c r="AA12" s="1210"/>
      <c r="AB12" s="1210"/>
      <c r="AC12" s="1210"/>
      <c r="AD12" s="1210"/>
      <c r="AE12" s="1210"/>
      <c r="AF12" s="1210"/>
      <c r="AG12" s="1210"/>
      <c r="AH12" s="1210"/>
      <c r="AI12" s="1210"/>
      <c r="AJ12" s="1210"/>
      <c r="AK12" s="1210"/>
      <c r="AM12" s="696"/>
      <c r="AN12" s="696" t="str">
        <f t="shared" si="0"/>
        <v>Добавить централизованную систему для дифференциации</v>
      </c>
      <c r="AO12" s="696"/>
      <c r="AP12" s="696"/>
    </row>
    <row r="13" spans="1:42" s="1772" customFormat="1" ht="0.75" hidden="1" customHeight="1">
      <c r="A13" s="1228"/>
      <c r="B13" s="1228"/>
      <c r="C13" s="1228"/>
      <c r="D13" s="1228"/>
      <c r="E13" s="2235"/>
      <c r="F13" s="1228"/>
      <c r="G13" s="1228"/>
      <c r="H13" s="1228"/>
      <c r="I13" s="1228"/>
      <c r="J13" s="1228"/>
      <c r="K13" s="1228"/>
      <c r="L13" s="1231"/>
      <c r="M13" s="1207"/>
      <c r="N13" s="1207"/>
      <c r="O13" s="446"/>
      <c r="P13" s="311"/>
      <c r="Q13" s="1229"/>
      <c r="R13" s="311"/>
      <c r="S13" s="1208"/>
      <c r="T13" s="1211" t="s">
        <v>1438</v>
      </c>
      <c r="U13" s="1210"/>
      <c r="V13" s="1210"/>
      <c r="W13" s="1210"/>
      <c r="X13" s="1210"/>
      <c r="Y13" s="1210"/>
      <c r="Z13" s="1210"/>
      <c r="AA13" s="1210"/>
      <c r="AB13" s="1210"/>
      <c r="AC13" s="1210"/>
      <c r="AD13" s="1210"/>
      <c r="AE13" s="1210"/>
      <c r="AF13" s="1210"/>
      <c r="AG13" s="1210"/>
      <c r="AH13" s="1210"/>
      <c r="AI13" s="1210"/>
      <c r="AJ13" s="1210"/>
      <c r="AK13" s="1210"/>
      <c r="AM13" s="428"/>
      <c r="AN13" s="428" t="str">
        <f t="shared" si="0"/>
        <v>Добавить территорию для дифференциации</v>
      </c>
      <c r="AO13" s="428"/>
      <c r="AP13" s="428"/>
    </row>
    <row r="14" spans="1:42" ht="14.25" hidden="1" customHeight="1">
      <c r="AB14" s="254"/>
      <c r="AI14" s="254"/>
    </row>
    <row r="15" spans="1:42" ht="14.25" hidden="1" customHeight="1">
      <c r="AC15" s="1671"/>
      <c r="AD15" s="1671"/>
      <c r="AE15" s="1672"/>
      <c r="AF15" s="2233"/>
      <c r="AG15" s="2232" t="s">
        <v>66</v>
      </c>
      <c r="AH15" s="2233"/>
      <c r="AI15" s="2232" t="s">
        <v>66</v>
      </c>
    </row>
    <row r="16" spans="1:42" ht="14.25" hidden="1" customHeight="1">
      <c r="AC16" s="1671"/>
      <c r="AD16" s="1671"/>
      <c r="AE16" s="1670" t="str">
        <f>AF15&amp;"-"&amp;AH15</f>
        <v>-</v>
      </c>
      <c r="AF16" s="2232"/>
      <c r="AG16" s="2232"/>
      <c r="AH16" s="2232"/>
      <c r="AI16" s="2232"/>
    </row>
    <row r="17" spans="1:42" ht="14.25" hidden="1" customHeight="1">
      <c r="AI17" s="254"/>
    </row>
    <row r="18" spans="1:42" s="1759" customFormat="1" ht="14.25" hidden="1" customHeight="1">
      <c r="L18" s="1340"/>
      <c r="M18" s="1243"/>
      <c r="N18" s="1243"/>
      <c r="O18" s="1248" t="s">
        <v>1478</v>
      </c>
      <c r="P18" s="1243"/>
      <c r="Q18" s="1252"/>
      <c r="R18" s="1252"/>
      <c r="S18" s="644"/>
      <c r="Y18" s="1248"/>
      <c r="AA18" s="1248"/>
      <c r="AB18" s="1247"/>
      <c r="AF18" s="1248"/>
      <c r="AH18" s="1248"/>
      <c r="AI18" s="1247"/>
      <c r="AL18" s="439"/>
      <c r="AM18" s="439"/>
      <c r="AN18" s="439"/>
      <c r="AO18" s="439"/>
      <c r="AP18" s="439"/>
    </row>
    <row r="19" spans="1:42" s="1759" customFormat="1" ht="14.25" hidden="1" customHeight="1">
      <c r="L19" s="1340"/>
      <c r="M19" s="1243"/>
      <c r="N19" s="1243"/>
      <c r="O19" s="1243"/>
      <c r="P19" s="1243"/>
      <c r="Q19" s="1252"/>
      <c r="R19" s="1252"/>
      <c r="S19" s="644"/>
      <c r="AB19" s="1247"/>
      <c r="AI19" s="1247"/>
      <c r="AL19" s="439"/>
      <c r="AM19" s="439"/>
      <c r="AN19" s="439"/>
      <c r="AO19" s="439"/>
      <c r="AP19" s="439"/>
    </row>
    <row r="20" spans="1:42" s="1759" customFormat="1" ht="12" hidden="1" customHeight="1">
      <c r="L20" s="1340"/>
      <c r="M20" s="1243"/>
      <c r="N20" s="1243"/>
      <c r="O20" s="1245" t="s">
        <v>1479</v>
      </c>
      <c r="P20" s="1243"/>
      <c r="Q20" s="1308"/>
      <c r="R20" s="1308"/>
      <c r="S20" s="644"/>
      <c r="T20" s="1036" t="s">
        <v>1480</v>
      </c>
      <c r="Z20" s="111" t="s">
        <v>1481</v>
      </c>
      <c r="AB20" s="111" t="s">
        <v>1482</v>
      </c>
      <c r="AC20" s="1036" t="s">
        <v>1480</v>
      </c>
      <c r="AG20" s="111" t="s">
        <v>1483</v>
      </c>
      <c r="AI20" s="111" t="s">
        <v>1482</v>
      </c>
    </row>
    <row r="21" spans="1:42" ht="14.25" hidden="1" customHeight="1">
      <c r="O21" s="1245"/>
    </row>
    <row r="22" spans="1:42" ht="14.25" hidden="1" customHeight="1">
      <c r="O22" s="1245"/>
    </row>
    <row r="23" spans="1:42" ht="14.25" customHeight="1">
      <c r="Q23" s="304"/>
      <c r="R23" s="304"/>
      <c r="S23" s="1158"/>
      <c r="T23" s="289"/>
      <c r="U23" s="289"/>
      <c r="V23" s="437"/>
      <c r="W23" s="437"/>
      <c r="X23" s="437"/>
      <c r="Y23" s="437"/>
      <c r="Z23" s="437"/>
      <c r="AA23" s="437"/>
      <c r="AB23" s="437"/>
      <c r="AC23" s="437"/>
      <c r="AD23" s="437"/>
      <c r="AE23" s="437"/>
      <c r="AF23" s="437"/>
      <c r="AG23" s="437"/>
      <c r="AH23" s="437"/>
      <c r="AI23" s="437"/>
    </row>
    <row r="24" spans="1:42" ht="32.25" customHeight="1">
      <c r="Q24" s="304"/>
      <c r="R24" s="304"/>
      <c r="S24" s="2079" t="str">
        <f>IF(TEMPLATE_GROUP="P",PT_P_FORM_HOTVSNA_4_NAME_FORM,PT_R_FORM_HOTVSNA_16_NAME_FORM)</f>
        <v>Форма 16. Информация о предложении расчетной величины тарифов организации горячего водоснабжения об установлении тарифов в сфере горячего водоснабжения на очередной период регулирования &lt;1&gt;</v>
      </c>
      <c r="T24" s="2079"/>
      <c r="U24" s="2079"/>
      <c r="V24" s="2079"/>
      <c r="W24" s="2079"/>
      <c r="X24" s="2079"/>
      <c r="Y24" s="2079"/>
      <c r="Z24" s="2079"/>
      <c r="AA24" s="2079"/>
      <c r="AB24" s="2079"/>
      <c r="AC24" s="2079"/>
      <c r="AD24" s="2079"/>
      <c r="AE24" s="2079"/>
      <c r="AF24" s="2079"/>
      <c r="AG24" s="2079"/>
      <c r="AH24" s="2079"/>
      <c r="AI24" s="1116"/>
    </row>
    <row r="25" spans="1:42" ht="14.25" customHeight="1">
      <c r="Q25" s="304"/>
      <c r="R25" s="304"/>
      <c r="S25" s="2102" t="str">
        <f>IF(org=0,"Не определено",org)</f>
        <v>ООО "Автозаводская ТЭЦ"</v>
      </c>
      <c r="T25" s="2102"/>
      <c r="U25" s="2102"/>
      <c r="V25" s="2102"/>
      <c r="W25" s="2102"/>
      <c r="X25" s="2102"/>
      <c r="Y25" s="2102"/>
      <c r="Z25" s="2102"/>
      <c r="AA25" s="2102"/>
      <c r="AB25" s="2102"/>
      <c r="AC25" s="2102"/>
      <c r="AD25" s="2102"/>
      <c r="AE25" s="2102"/>
      <c r="AF25" s="2102"/>
      <c r="AG25" s="2102"/>
      <c r="AH25" s="2102"/>
      <c r="AI25" s="1116"/>
    </row>
    <row r="26" spans="1:42" ht="14.25" hidden="1" customHeight="1">
      <c r="Q26" s="304"/>
      <c r="R26" s="304"/>
      <c r="S26" s="1158"/>
      <c r="T26" s="289"/>
      <c r="U26" s="289"/>
      <c r="V26" s="248"/>
      <c r="W26" s="248"/>
      <c r="X26" s="248"/>
      <c r="Y26" s="248"/>
      <c r="Z26" s="248"/>
      <c r="AA26" s="248"/>
      <c r="AB26" s="248"/>
      <c r="AC26" s="248"/>
      <c r="AD26" s="248"/>
      <c r="AE26" s="248"/>
      <c r="AF26" s="248"/>
      <c r="AG26" s="248"/>
      <c r="AH26" s="248"/>
      <c r="AI26" s="248"/>
      <c r="AJ26" s="437"/>
    </row>
    <row r="27" spans="1:42" s="1950" customFormat="1" ht="25.5" hidden="1" customHeight="1">
      <c r="A27" s="1249"/>
      <c r="B27" s="1249"/>
      <c r="C27" s="1249"/>
      <c r="D27" s="1249"/>
      <c r="E27" s="1249"/>
      <c r="F27" s="1249"/>
      <c r="G27" s="1249"/>
      <c r="H27" s="1249"/>
      <c r="I27" s="1249"/>
      <c r="J27" s="1249"/>
      <c r="K27" s="1249"/>
      <c r="L27" s="1250"/>
      <c r="M27" s="1249"/>
      <c r="N27" s="1249"/>
      <c r="O27" s="1249"/>
      <c r="S27" s="2227" t="s">
        <v>38</v>
      </c>
      <c r="T27" s="2227"/>
      <c r="U27" s="1253"/>
      <c r="V27" s="2228" t="str">
        <f>IF(TITLE_NAME_OR_PR_CHANGE="",IF(TITLE_NAME_OR_PR="","",TITLE_NAME_OR_PR),TITLE_NAME_OR_PR_CHANGE)</f>
        <v/>
      </c>
      <c r="W27" s="2228"/>
      <c r="X27" s="2228"/>
      <c r="Y27" s="2228"/>
      <c r="Z27" s="2228"/>
      <c r="AA27" s="2228"/>
      <c r="AB27" s="253"/>
      <c r="AC27" s="2228" t="str">
        <f>IF(TITLE_NAME_OR_PR_CHANGE="",IF(TITLE_NAME_OR_PR="","",TITLE_NAME_OR_PR),TITLE_NAME_OR_PR_CHANGE)</f>
        <v/>
      </c>
      <c r="AD27" s="2228"/>
      <c r="AE27" s="2228"/>
      <c r="AF27" s="2228"/>
      <c r="AG27" s="2228"/>
      <c r="AH27" s="2228"/>
      <c r="AI27" s="253"/>
      <c r="AJ27" s="253"/>
      <c r="AK27" s="199"/>
      <c r="AL27" s="295"/>
      <c r="AM27" s="295"/>
      <c r="AN27" s="295"/>
      <c r="AO27" s="295"/>
      <c r="AP27" s="295"/>
    </row>
    <row r="28" spans="1:42" s="1950" customFormat="1" ht="18.75" hidden="1" customHeight="1">
      <c r="A28" s="1249"/>
      <c r="B28" s="1249"/>
      <c r="C28" s="1249"/>
      <c r="D28" s="1249"/>
      <c r="E28" s="1249"/>
      <c r="F28" s="1249"/>
      <c r="G28" s="1249"/>
      <c r="H28" s="1249"/>
      <c r="I28" s="1249"/>
      <c r="J28" s="1249"/>
      <c r="K28" s="1249"/>
      <c r="L28" s="1250"/>
      <c r="M28" s="1249"/>
      <c r="N28" s="1249"/>
      <c r="O28" s="1249"/>
      <c r="S28" s="2227" t="s">
        <v>1484</v>
      </c>
      <c r="T28" s="2227"/>
      <c r="U28" s="1253"/>
      <c r="V28" s="2228" t="str">
        <f>IF(TITLE_DATE_CHANGE_PERIOD="",IF(TITLE_DATE_PR="","",TITLE_DATE_PR),TITLE_DATE_CHANGE_PERIOD)</f>
        <v/>
      </c>
      <c r="W28" s="2228"/>
      <c r="X28" s="2228"/>
      <c r="Y28" s="2228"/>
      <c r="Z28" s="2228"/>
      <c r="AA28" s="2228"/>
      <c r="AB28" s="253"/>
      <c r="AC28" s="2228" t="str">
        <f>IF(TITLE_DATE_CHANGE_PERIOD="",IF(TITLE_DATE_PR="","",TITLE_DATE_PR),TITLE_DATE_CHANGE_PERIOD)</f>
        <v/>
      </c>
      <c r="AD28" s="2228"/>
      <c r="AE28" s="2228"/>
      <c r="AF28" s="2228"/>
      <c r="AG28" s="2228"/>
      <c r="AH28" s="2228"/>
      <c r="AI28" s="253"/>
      <c r="AJ28" s="253"/>
      <c r="AK28" s="199"/>
      <c r="AL28" s="295"/>
      <c r="AM28" s="295"/>
      <c r="AN28" s="295"/>
      <c r="AO28" s="295"/>
      <c r="AP28" s="295"/>
    </row>
    <row r="29" spans="1:42" s="1950" customFormat="1" ht="18.75" hidden="1" customHeight="1">
      <c r="A29" s="1249"/>
      <c r="B29" s="1249"/>
      <c r="C29" s="1249"/>
      <c r="D29" s="1249"/>
      <c r="E29" s="1249"/>
      <c r="F29" s="1249"/>
      <c r="G29" s="1249"/>
      <c r="H29" s="1249"/>
      <c r="I29" s="1249"/>
      <c r="J29" s="1249"/>
      <c r="K29" s="1249"/>
      <c r="L29" s="1250"/>
      <c r="M29" s="1249"/>
      <c r="N29" s="1249"/>
      <c r="O29" s="1249"/>
      <c r="S29" s="2227" t="s">
        <v>1485</v>
      </c>
      <c r="T29" s="2227"/>
      <c r="U29" s="1253"/>
      <c r="V29" s="2228" t="str">
        <f>IF(TITLE_NUMBER_PR_CHANGE="",IF(TITLE_NUMBER_PR="","",TITLE_NUMBER_PR),TITLE_NUMBER_PR_CHANGE)</f>
        <v/>
      </c>
      <c r="W29" s="2228"/>
      <c r="X29" s="2228"/>
      <c r="Y29" s="2228"/>
      <c r="Z29" s="2228"/>
      <c r="AA29" s="2228"/>
      <c r="AB29" s="253"/>
      <c r="AC29" s="2228" t="str">
        <f>IF(TITLE_NUMBER_PR_CHANGE="",IF(TITLE_NUMBER_PR="","",TITLE_NUMBER_PR),TITLE_NUMBER_PR_CHANGE)</f>
        <v/>
      </c>
      <c r="AD29" s="2228"/>
      <c r="AE29" s="2228"/>
      <c r="AF29" s="2228"/>
      <c r="AG29" s="2228"/>
      <c r="AH29" s="2228"/>
      <c r="AI29" s="253"/>
      <c r="AJ29" s="253"/>
      <c r="AK29" s="199"/>
      <c r="AL29" s="295"/>
      <c r="AM29" s="295"/>
      <c r="AN29" s="295"/>
      <c r="AO29" s="295"/>
      <c r="AP29" s="295"/>
    </row>
    <row r="30" spans="1:42" s="1950" customFormat="1" ht="18.75" hidden="1" customHeight="1">
      <c r="A30" s="1249"/>
      <c r="B30" s="1249"/>
      <c r="C30" s="1249"/>
      <c r="D30" s="1249"/>
      <c r="E30" s="1249"/>
      <c r="F30" s="1249"/>
      <c r="G30" s="1249"/>
      <c r="H30" s="1249"/>
      <c r="I30" s="1249"/>
      <c r="J30" s="1249"/>
      <c r="K30" s="1249"/>
      <c r="L30" s="1250"/>
      <c r="M30" s="1249"/>
      <c r="N30" s="1249"/>
      <c r="O30" s="1249"/>
      <c r="S30" s="2227" t="s">
        <v>39</v>
      </c>
      <c r="T30" s="2227"/>
      <c r="U30" s="1253"/>
      <c r="V30" s="2228" t="str">
        <f>IF(TITLE_IST_PUB_CHANGE="",IF(TITLE_IST_PUB="","",TITLE_IST_PUB),TITLE_IST_PUB_CHANGE)</f>
        <v/>
      </c>
      <c r="W30" s="2228"/>
      <c r="X30" s="2228"/>
      <c r="Y30" s="2228"/>
      <c r="Z30" s="2228"/>
      <c r="AA30" s="2228"/>
      <c r="AB30" s="253"/>
      <c r="AC30" s="2228" t="str">
        <f>IF(TITLE_IST_PUB_CHANGE="",IF(TITLE_IST_PUB="","",TITLE_IST_PUB),TITLE_IST_PUB_CHANGE)</f>
        <v/>
      </c>
      <c r="AD30" s="2228"/>
      <c r="AE30" s="2228"/>
      <c r="AF30" s="2228"/>
      <c r="AG30" s="2228"/>
      <c r="AH30" s="2228"/>
      <c r="AI30" s="253"/>
      <c r="AJ30" s="253"/>
      <c r="AK30" s="199"/>
      <c r="AL30" s="295"/>
      <c r="AM30" s="295"/>
      <c r="AN30" s="295"/>
      <c r="AO30" s="295"/>
      <c r="AP30" s="295"/>
    </row>
    <row r="31" spans="1:42" ht="14.25" hidden="1" customHeight="1">
      <c r="Q31" s="304"/>
      <c r="R31" s="304"/>
      <c r="S31" s="1158"/>
      <c r="T31" s="289"/>
      <c r="U31" s="289"/>
      <c r="V31" s="248"/>
      <c r="W31" s="248"/>
      <c r="X31" s="248"/>
      <c r="Y31" s="248"/>
      <c r="Z31" s="248"/>
      <c r="AA31" s="248"/>
      <c r="AB31" s="248"/>
      <c r="AC31" s="248"/>
      <c r="AD31" s="248"/>
      <c r="AE31" s="248"/>
      <c r="AF31" s="248"/>
      <c r="AG31" s="248"/>
      <c r="AH31" s="248"/>
      <c r="AI31" s="248"/>
      <c r="AJ31" s="437"/>
    </row>
    <row r="32" spans="1:42" s="1950" customFormat="1" ht="18.75" hidden="1" customHeight="1">
      <c r="A32" s="1249"/>
      <c r="B32" s="1249"/>
      <c r="C32" s="1249"/>
      <c r="D32" s="1249"/>
      <c r="E32" s="1249"/>
      <c r="F32" s="1249"/>
      <c r="G32" s="1249"/>
      <c r="H32" s="1249"/>
      <c r="I32" s="1249"/>
      <c r="J32" s="1249"/>
      <c r="K32" s="1249"/>
      <c r="L32" s="1250"/>
      <c r="M32" s="1249"/>
      <c r="N32" s="1249"/>
      <c r="O32" s="1249"/>
      <c r="S32" s="2227" t="s">
        <v>1486</v>
      </c>
      <c r="T32" s="2227"/>
      <c r="U32" s="1253"/>
      <c r="V32" s="2228" t="str">
        <f>IF(TITLE_DATE_CHANGE_PERIOD="",IF(TITLE_DATE_PR="","",TITLE_DATE_PR),TITLE_DATE_CHANGE_PERIOD)</f>
        <v/>
      </c>
      <c r="W32" s="2228"/>
      <c r="X32" s="2228"/>
      <c r="Y32" s="2228"/>
      <c r="Z32" s="2228"/>
      <c r="AA32" s="2228"/>
      <c r="AB32" s="253"/>
      <c r="AC32" s="2228" t="str">
        <f>IF(TITLE_DATE_CHANGE_PERIOD="",IF(TITLE_DATE_PR="","",TITLE_DATE_PR),TITLE_DATE_CHANGE_PERIOD)</f>
        <v/>
      </c>
      <c r="AD32" s="2228"/>
      <c r="AE32" s="2228"/>
      <c r="AF32" s="2228"/>
      <c r="AG32" s="2228"/>
      <c r="AH32" s="2228"/>
      <c r="AI32" s="253"/>
      <c r="AJ32" s="253"/>
      <c r="AK32" s="199"/>
      <c r="AL32" s="295"/>
      <c r="AM32" s="295"/>
      <c r="AN32" s="295"/>
      <c r="AO32" s="295"/>
      <c r="AP32" s="295"/>
    </row>
    <row r="33" spans="1:42" s="1950" customFormat="1" ht="18.75" hidden="1" customHeight="1">
      <c r="A33" s="1249"/>
      <c r="B33" s="1249"/>
      <c r="C33" s="1249"/>
      <c r="D33" s="1249"/>
      <c r="E33" s="1249"/>
      <c r="F33" s="1249"/>
      <c r="G33" s="1249"/>
      <c r="H33" s="1249"/>
      <c r="I33" s="1249"/>
      <c r="J33" s="1249"/>
      <c r="K33" s="1249"/>
      <c r="L33" s="1250"/>
      <c r="M33" s="1249"/>
      <c r="N33" s="1249"/>
      <c r="O33" s="1249"/>
      <c r="S33" s="2227" t="s">
        <v>1487</v>
      </c>
      <c r="T33" s="2227"/>
      <c r="U33" s="1253"/>
      <c r="V33" s="2228" t="str">
        <f>IF(TITLE_NUMBER_PR_CHANGE="",IF(TITLE_NUMBER_PR="","",TITLE_NUMBER_PR),TITLE_NUMBER_PR_CHANGE)</f>
        <v/>
      </c>
      <c r="W33" s="2228"/>
      <c r="X33" s="2228"/>
      <c r="Y33" s="2228"/>
      <c r="Z33" s="2228"/>
      <c r="AA33" s="2228"/>
      <c r="AB33" s="253"/>
      <c r="AC33" s="2228" t="str">
        <f>IF(TITLE_NUMBER_PR_CHANGE="",IF(TITLE_NUMBER_PR="","",TITLE_NUMBER_PR),TITLE_NUMBER_PR_CHANGE)</f>
        <v/>
      </c>
      <c r="AD33" s="2228"/>
      <c r="AE33" s="2228"/>
      <c r="AF33" s="2228"/>
      <c r="AG33" s="2228"/>
      <c r="AH33" s="2228"/>
      <c r="AI33" s="253"/>
      <c r="AJ33" s="253"/>
      <c r="AK33" s="199"/>
      <c r="AL33" s="295"/>
      <c r="AM33" s="295"/>
      <c r="AN33" s="295"/>
      <c r="AO33" s="295"/>
      <c r="AP33" s="295"/>
    </row>
    <row r="34" spans="1:42" s="1950" customFormat="1" ht="0.75" customHeight="1">
      <c r="A34" s="1249"/>
      <c r="B34" s="1249"/>
      <c r="C34" s="1249"/>
      <c r="D34" s="1249"/>
      <c r="E34" s="1249"/>
      <c r="F34" s="1249"/>
      <c r="G34" s="1249"/>
      <c r="H34" s="1249"/>
      <c r="I34" s="1249"/>
      <c r="J34" s="1249"/>
      <c r="K34" s="1249"/>
      <c r="L34" s="1250"/>
      <c r="M34" s="1249"/>
      <c r="N34" s="1249"/>
      <c r="O34" s="1249"/>
      <c r="S34" s="250"/>
      <c r="T34" s="250"/>
      <c r="U34" s="1350"/>
      <c r="V34" s="253"/>
      <c r="W34" s="253"/>
      <c r="X34" s="253"/>
      <c r="Y34" s="253"/>
      <c r="Z34" s="253"/>
      <c r="AA34" s="253"/>
      <c r="AB34" s="197" t="s">
        <v>1488</v>
      </c>
      <c r="AC34" s="253"/>
      <c r="AD34" s="253"/>
      <c r="AE34" s="253"/>
      <c r="AF34" s="253"/>
      <c r="AG34" s="253"/>
      <c r="AH34" s="253"/>
      <c r="AI34" s="197" t="s">
        <v>1488</v>
      </c>
      <c r="AL34" s="295"/>
      <c r="AM34" s="295"/>
      <c r="AN34" s="295"/>
      <c r="AO34" s="295"/>
      <c r="AP34" s="295"/>
    </row>
    <row r="35" spans="1:42" ht="14.25" customHeight="1">
      <c r="Q35" s="304"/>
      <c r="R35" s="304"/>
      <c r="S35" s="1158"/>
      <c r="T35" s="289"/>
      <c r="U35" s="1117"/>
      <c r="V35" s="2246"/>
      <c r="W35" s="2246"/>
      <c r="X35" s="2246"/>
      <c r="Y35" s="2246"/>
      <c r="Z35" s="2246"/>
      <c r="AA35" s="2246"/>
      <c r="AB35" s="2246"/>
      <c r="AC35" s="2246"/>
      <c r="AD35" s="2246"/>
      <c r="AE35" s="2246"/>
      <c r="AF35" s="2246"/>
      <c r="AG35" s="2246"/>
      <c r="AH35" s="2246"/>
      <c r="AI35" s="2246"/>
    </row>
    <row r="36" spans="1:42" ht="14.25" customHeight="1">
      <c r="Q36" s="304"/>
      <c r="R36" s="304"/>
      <c r="S36" s="2021" t="s">
        <v>292</v>
      </c>
      <c r="T36" s="2021"/>
      <c r="U36" s="2021"/>
      <c r="V36" s="2021"/>
      <c r="W36" s="2021"/>
      <c r="X36" s="2021"/>
      <c r="Y36" s="2021"/>
      <c r="Z36" s="2021"/>
      <c r="AA36" s="2021"/>
      <c r="AB36" s="2021"/>
      <c r="AC36" s="2021"/>
      <c r="AD36" s="2021"/>
      <c r="AE36" s="2021"/>
      <c r="AF36" s="2021"/>
      <c r="AG36" s="2021"/>
      <c r="AH36" s="2021"/>
      <c r="AI36" s="2021"/>
      <c r="AJ36" s="2021"/>
      <c r="AK36" s="2021" t="s">
        <v>293</v>
      </c>
    </row>
    <row r="37" spans="1:42" ht="14.25" customHeight="1">
      <c r="Q37" s="304"/>
      <c r="R37" s="304"/>
      <c r="S37" s="2247" t="s">
        <v>88</v>
      </c>
      <c r="T37" s="2111" t="s">
        <v>1489</v>
      </c>
      <c r="U37" s="219"/>
      <c r="V37" s="2248" t="s">
        <v>1490</v>
      </c>
      <c r="W37" s="2249"/>
      <c r="X37" s="2249"/>
      <c r="Y37" s="2249"/>
      <c r="Z37" s="2249"/>
      <c r="AA37" s="2250"/>
      <c r="AB37" s="2251" t="s">
        <v>1491</v>
      </c>
      <c r="AC37" s="2248" t="s">
        <v>1490</v>
      </c>
      <c r="AD37" s="2249"/>
      <c r="AE37" s="2249"/>
      <c r="AF37" s="2249"/>
      <c r="AG37" s="2249"/>
      <c r="AH37" s="2250"/>
      <c r="AI37" s="2251" t="s">
        <v>1492</v>
      </c>
      <c r="AJ37" s="2254" t="s">
        <v>1493</v>
      </c>
      <c r="AK37" s="2021"/>
    </row>
    <row r="38" spans="1:42" ht="33.75" customHeight="1">
      <c r="Q38" s="304"/>
      <c r="R38" s="304"/>
      <c r="S38" s="2247"/>
      <c r="T38" s="2111"/>
      <c r="U38" s="924"/>
      <c r="V38" s="1345" t="s">
        <v>2100</v>
      </c>
      <c r="W38" s="2003" t="s">
        <v>2101</v>
      </c>
      <c r="X38" s="2002"/>
      <c r="Y38" s="2003" t="s">
        <v>1497</v>
      </c>
      <c r="Z38" s="2008"/>
      <c r="AA38" s="2002"/>
      <c r="AB38" s="2252"/>
      <c r="AC38" s="1345" t="s">
        <v>2100</v>
      </c>
      <c r="AD38" s="2003" t="s">
        <v>2101</v>
      </c>
      <c r="AE38" s="2002"/>
      <c r="AF38" s="2003" t="s">
        <v>1497</v>
      </c>
      <c r="AG38" s="2008"/>
      <c r="AH38" s="2002"/>
      <c r="AI38" s="2252"/>
      <c r="AJ38" s="2255"/>
      <c r="AK38" s="2021"/>
    </row>
    <row r="39" spans="1:42" ht="86.25" customHeight="1">
      <c r="A39" s="1251"/>
      <c r="B39" s="1251" t="s">
        <v>136</v>
      </c>
      <c r="C39" s="1251" t="s">
        <v>137</v>
      </c>
      <c r="D39" s="1251" t="s">
        <v>138</v>
      </c>
      <c r="E39" s="1245" t="s">
        <v>1498</v>
      </c>
      <c r="F39" s="1245" t="s">
        <v>1499</v>
      </c>
      <c r="G39" s="1245" t="s">
        <v>1500</v>
      </c>
      <c r="H39" s="1245"/>
      <c r="I39" s="1245" t="s">
        <v>1685</v>
      </c>
      <c r="J39" s="1245" t="s">
        <v>1503</v>
      </c>
      <c r="K39" s="1245" t="s">
        <v>1686</v>
      </c>
      <c r="L39" s="1245" t="s">
        <v>1479</v>
      </c>
      <c r="Q39" s="304"/>
      <c r="R39" s="304"/>
      <c r="S39" s="2247"/>
      <c r="T39" s="2111"/>
      <c r="U39" s="220"/>
      <c r="V39" s="1345" t="s">
        <v>2102</v>
      </c>
      <c r="W39" s="1092" t="s">
        <v>2103</v>
      </c>
      <c r="X39" s="1092" t="s">
        <v>2104</v>
      </c>
      <c r="Y39" s="1351" t="s">
        <v>1507</v>
      </c>
      <c r="Z39" s="2117" t="s">
        <v>1508</v>
      </c>
      <c r="AA39" s="2131"/>
      <c r="AB39" s="2253"/>
      <c r="AC39" s="1345" t="s">
        <v>2102</v>
      </c>
      <c r="AD39" s="1092" t="s">
        <v>2103</v>
      </c>
      <c r="AE39" s="1092" t="s">
        <v>2104</v>
      </c>
      <c r="AF39" s="1351" t="s">
        <v>1507</v>
      </c>
      <c r="AG39" s="2117" t="s">
        <v>1508</v>
      </c>
      <c r="AH39" s="2131"/>
      <c r="AI39" s="2253"/>
      <c r="AJ39" s="2256"/>
      <c r="AK39" s="2021"/>
    </row>
    <row r="40" spans="1:42" s="1720" customFormat="1" ht="11.25" hidden="1" customHeight="1">
      <c r="A40" s="1251"/>
      <c r="B40" s="1251"/>
      <c r="C40" s="1251"/>
      <c r="D40" s="1251"/>
      <c r="E40" s="1251"/>
      <c r="F40" s="1251"/>
      <c r="G40" s="1251"/>
      <c r="H40" s="1251"/>
      <c r="I40" s="1251"/>
      <c r="J40" s="1251"/>
      <c r="K40" s="1251"/>
      <c r="L40" s="1245"/>
      <c r="M40" s="1243"/>
      <c r="N40" s="1243"/>
      <c r="O40" s="1243"/>
      <c r="P40" s="1119"/>
      <c r="Q40" s="1120"/>
      <c r="R40" s="1135">
        <v>1</v>
      </c>
      <c r="S40" s="1160" t="s">
        <v>109</v>
      </c>
      <c r="T40" s="1136" t="s">
        <v>110</v>
      </c>
      <c r="U40" s="1118" t="str">
        <f ca="1">OFFSET(U40,0,-1)</f>
        <v>2</v>
      </c>
      <c r="V40" s="1344">
        <f ca="1">OFFSET(V40,0,-1)+1</f>
        <v>3</v>
      </c>
      <c r="W40" s="1344">
        <f ca="1">OFFSET(W40,0,-1)+1</f>
        <v>4</v>
      </c>
      <c r="X40" s="1344">
        <f ca="1">OFFSET(X40,0,-1)+1</f>
        <v>5</v>
      </c>
      <c r="Y40" s="1344">
        <f ca="1">OFFSET(Y40,0,-1)+1</f>
        <v>6</v>
      </c>
      <c r="Z40" s="2245">
        <f ca="1">OFFSET(Z40,0,-1)+1</f>
        <v>7</v>
      </c>
      <c r="AA40" s="2245"/>
      <c r="AB40" s="1344">
        <f ca="1">OFFSET(AB40,0,-2)+1</f>
        <v>8</v>
      </c>
      <c r="AC40" s="1344">
        <f ca="1">OFFSET(AC40,0,-1)+1</f>
        <v>9</v>
      </c>
      <c r="AD40" s="1344">
        <f ca="1">OFFSET(AD40,0,-1)+1</f>
        <v>10</v>
      </c>
      <c r="AE40" s="1344">
        <f ca="1">OFFSET(AE40,0,-1)+1</f>
        <v>11</v>
      </c>
      <c r="AF40" s="1344">
        <f ca="1">OFFSET(AF40,0,-1)+1</f>
        <v>12</v>
      </c>
      <c r="AG40" s="2245">
        <f ca="1">OFFSET(AG40,0,-1)+1</f>
        <v>13</v>
      </c>
      <c r="AH40" s="2245"/>
      <c r="AI40" s="1344">
        <f ca="1">OFFSET(AI40,0,-2)+1</f>
        <v>14</v>
      </c>
      <c r="AJ40" s="1118">
        <f ca="1">OFFSET(AJ40,0,-1)</f>
        <v>14</v>
      </c>
      <c r="AK40" s="1344">
        <f ca="1">OFFSET(AK40,0,-1)+1</f>
        <v>15</v>
      </c>
      <c r="AL40" s="439"/>
      <c r="AM40" s="439"/>
      <c r="AN40" s="439"/>
      <c r="AO40" s="439"/>
      <c r="AP40" s="439"/>
    </row>
    <row r="41" spans="1:42" ht="23.25" customHeight="1">
      <c r="A41" s="1244" t="s">
        <v>243</v>
      </c>
      <c r="B41" s="1244"/>
      <c r="C41" s="1244"/>
      <c r="D41" s="1244"/>
      <c r="E41" s="2235">
        <v>1</v>
      </c>
      <c r="F41" s="1244"/>
      <c r="G41" s="1244"/>
      <c r="H41" s="1244"/>
      <c r="I41" s="1244"/>
      <c r="J41" s="1244"/>
      <c r="K41" s="1244"/>
      <c r="L41" s="1245"/>
      <c r="M41" s="1246"/>
      <c r="N41" s="1246"/>
      <c r="O41" s="1246"/>
      <c r="P41" s="285"/>
      <c r="Q41" s="284"/>
      <c r="R41" s="279"/>
      <c r="S41" s="1355">
        <f>INDEX(PT_DIFFERENTIATION_NUM_NTAR,MATCH(A41,PT_DIFFERENTIATION_NTAR_ID,0))</f>
        <v>0</v>
      </c>
      <c r="T41" s="216" t="s">
        <v>124</v>
      </c>
      <c r="U41" s="218"/>
      <c r="V41" s="2229"/>
      <c r="W41" s="2230"/>
      <c r="X41" s="2230"/>
      <c r="Y41" s="2230"/>
      <c r="Z41" s="2230"/>
      <c r="AA41" s="2230"/>
      <c r="AB41" s="2231"/>
      <c r="AC41" s="2229" t="str">
        <f>INDEX(PT_DIFFERENTIATION_NTAR,MATCH(A41,PT_DIFFERENTIATION_NTAR_ID,0))</f>
        <v/>
      </c>
      <c r="AD41" s="2230"/>
      <c r="AE41" s="2230"/>
      <c r="AF41" s="2230"/>
      <c r="AG41" s="2230"/>
      <c r="AH41" s="2230"/>
      <c r="AI41" s="2230"/>
      <c r="AJ41" s="2231"/>
      <c r="AK41" s="114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8"/>
      <c r="AN41" s="428" t="str">
        <f t="shared" ref="AN41:AN53" si="1">IF(T41="","",T41)</f>
        <v>Наименование тарифа</v>
      </c>
      <c r="AO41" s="428"/>
      <c r="AP41" s="428"/>
    </row>
    <row r="42" spans="1:42" ht="23.25" customHeight="1">
      <c r="A42" s="1244" t="s">
        <v>243</v>
      </c>
      <c r="B42" s="1244" t="s">
        <v>244</v>
      </c>
      <c r="C42" s="1244"/>
      <c r="D42" s="1244"/>
      <c r="E42" s="2236"/>
      <c r="F42" s="2235">
        <v>1</v>
      </c>
      <c r="G42" s="1244"/>
      <c r="H42" s="1244"/>
      <c r="I42" s="1244"/>
      <c r="J42" s="1244"/>
      <c r="K42" s="1244"/>
      <c r="L42" s="1245"/>
      <c r="M42" s="1246"/>
      <c r="N42" s="1246"/>
      <c r="O42" s="1246"/>
      <c r="P42" s="1349"/>
      <c r="Q42" s="276"/>
      <c r="R42" s="277"/>
      <c r="S42" s="1355" t="str">
        <f>INDEX(PT_DIFFERENTIATION_NUM_TER,MATCH(B42,PT_DIFFERENTIATION_TER_ID,0))</f>
        <v>.</v>
      </c>
      <c r="T42" s="228" t="s">
        <v>1461</v>
      </c>
      <c r="U42" s="218"/>
      <c r="V42" s="2229"/>
      <c r="W42" s="2230"/>
      <c r="X42" s="2230"/>
      <c r="Y42" s="2230"/>
      <c r="Z42" s="2230"/>
      <c r="AA42" s="2230"/>
      <c r="AB42" s="2231"/>
      <c r="AC42" s="2229" t="str">
        <f>INDEX(PT_DIFFERENTIATION_TER,MATCH(B42,PT_DIFFERENTIATION_TER_ID,0))</f>
        <v/>
      </c>
      <c r="AD42" s="2230"/>
      <c r="AE42" s="2230"/>
      <c r="AF42" s="2230"/>
      <c r="AG42" s="2230"/>
      <c r="AH42" s="2230"/>
      <c r="AI42" s="2230"/>
      <c r="AJ42" s="2231"/>
      <c r="AK42" s="1140" t="s">
        <v>1462</v>
      </c>
      <c r="AM42" s="428"/>
      <c r="AN42" s="428" t="str">
        <f t="shared" si="1"/>
        <v>Территория действия тарифа</v>
      </c>
      <c r="AO42" s="428"/>
      <c r="AP42" s="428"/>
    </row>
    <row r="43" spans="1:42" ht="23.25" customHeight="1">
      <c r="A43" s="1244" t="s">
        <v>243</v>
      </c>
      <c r="B43" s="1244" t="s">
        <v>244</v>
      </c>
      <c r="C43" s="1244" t="s">
        <v>245</v>
      </c>
      <c r="D43" s="1244"/>
      <c r="E43" s="2236"/>
      <c r="F43" s="2236"/>
      <c r="G43" s="2235">
        <v>1</v>
      </c>
      <c r="H43" s="1244"/>
      <c r="I43" s="1244"/>
      <c r="J43" s="1244"/>
      <c r="K43" s="1244"/>
      <c r="L43" s="1245"/>
      <c r="M43" s="1246"/>
      <c r="N43" s="1246"/>
      <c r="O43" s="1246"/>
      <c r="P43" s="278"/>
      <c r="Q43" s="276"/>
      <c r="R43" s="277"/>
      <c r="S43" s="1355" t="str">
        <f>INDEX(PT_DIFFERENTIATION_NUM_CS,MATCH(C43,PT_DIFFERENTIATION_CS_ID,0))</f>
        <v>..</v>
      </c>
      <c r="T43" s="229" t="s">
        <v>2098</v>
      </c>
      <c r="U43" s="218"/>
      <c r="V43" s="2229"/>
      <c r="W43" s="2230"/>
      <c r="X43" s="2230"/>
      <c r="Y43" s="2230"/>
      <c r="Z43" s="2230"/>
      <c r="AA43" s="2230"/>
      <c r="AB43" s="2231"/>
      <c r="AC43" s="2229" t="str">
        <f>INDEX(PT_DIFFERENTIATION_CS,MATCH(C43,PT_DIFFERENTIATION_CS_ID,0))</f>
        <v/>
      </c>
      <c r="AD43" s="2230"/>
      <c r="AE43" s="2230"/>
      <c r="AF43" s="2230"/>
      <c r="AG43" s="2230"/>
      <c r="AH43" s="2230"/>
      <c r="AI43" s="2230"/>
      <c r="AJ43" s="2231"/>
      <c r="AK43" s="1140" t="s">
        <v>2099</v>
      </c>
      <c r="AM43" s="428"/>
      <c r="AN43" s="428" t="str">
        <f t="shared" si="1"/>
        <v>Наименование централизованной системы горячего водоснабжения</v>
      </c>
      <c r="AO43" s="428"/>
      <c r="AP43" s="428"/>
    </row>
    <row r="44" spans="1:42" ht="23.25" customHeight="1">
      <c r="A44" s="1244" t="s">
        <v>243</v>
      </c>
      <c r="B44" s="1244" t="s">
        <v>244</v>
      </c>
      <c r="C44" s="1244" t="s">
        <v>245</v>
      </c>
      <c r="D44" s="1244" t="s">
        <v>2105</v>
      </c>
      <c r="E44" s="2236"/>
      <c r="F44" s="2236"/>
      <c r="G44" s="2236"/>
      <c r="H44" s="2236"/>
      <c r="I44" s="2237" t="str">
        <f>S43&amp;".1"</f>
        <v>...1</v>
      </c>
      <c r="J44" s="1244"/>
      <c r="K44" s="1244"/>
      <c r="L44" s="1245"/>
      <c r="P44" s="2157">
        <v>1</v>
      </c>
      <c r="Q44" s="1343"/>
      <c r="R44" s="280"/>
      <c r="S44" s="1355" t="str">
        <f>$I44</f>
        <v>...1</v>
      </c>
      <c r="T44" s="203" t="s">
        <v>1678</v>
      </c>
      <c r="U44" s="218"/>
      <c r="V44" s="2327"/>
      <c r="W44" s="2328"/>
      <c r="X44" s="2328"/>
      <c r="Y44" s="2328"/>
      <c r="Z44" s="2328"/>
      <c r="AA44" s="2328"/>
      <c r="AB44" s="2329"/>
      <c r="AC44" s="2330"/>
      <c r="AD44" s="2331"/>
      <c r="AE44" s="2331"/>
      <c r="AF44" s="2331"/>
      <c r="AG44" s="2331"/>
      <c r="AH44" s="2331"/>
      <c r="AI44" s="2331"/>
      <c r="AJ44" s="2332"/>
      <c r="AK44" s="1140" t="s">
        <v>1679</v>
      </c>
      <c r="AM44" s="428"/>
      <c r="AN44" s="428" t="str">
        <f t="shared" si="1"/>
        <v>Наименование признака дифференциации</v>
      </c>
      <c r="AO44" s="428"/>
      <c r="AP44" s="428"/>
    </row>
    <row r="45" spans="1:42" ht="23.25" customHeight="1">
      <c r="A45" s="1244" t="s">
        <v>243</v>
      </c>
      <c r="B45" s="1244" t="s">
        <v>244</v>
      </c>
      <c r="C45" s="1244" t="s">
        <v>245</v>
      </c>
      <c r="D45" s="1244" t="s">
        <v>2105</v>
      </c>
      <c r="E45" s="2236"/>
      <c r="F45" s="2236"/>
      <c r="G45" s="2236"/>
      <c r="H45" s="2236"/>
      <c r="I45" s="2238"/>
      <c r="J45" s="2237" t="str">
        <f>I44&amp;".1"</f>
        <v>...1.1</v>
      </c>
      <c r="K45" s="1244"/>
      <c r="L45" s="1245" t="s">
        <v>1470</v>
      </c>
      <c r="P45" s="2157"/>
      <c r="Q45" s="2157">
        <v>1</v>
      </c>
      <c r="R45" s="281"/>
      <c r="S45" s="1355" t="str">
        <f>$J45</f>
        <v>...1.1</v>
      </c>
      <c r="T45" s="204" t="s">
        <v>1471</v>
      </c>
      <c r="U45" s="218"/>
      <c r="V45" s="2224"/>
      <c r="W45" s="2225"/>
      <c r="X45" s="2225"/>
      <c r="Y45" s="2225"/>
      <c r="Z45" s="2225"/>
      <c r="AA45" s="2225"/>
      <c r="AB45" s="2226"/>
      <c r="AC45" s="2224"/>
      <c r="AD45" s="2225"/>
      <c r="AE45" s="2225"/>
      <c r="AF45" s="2225"/>
      <c r="AG45" s="2225"/>
      <c r="AH45" s="2225"/>
      <c r="AI45" s="2225"/>
      <c r="AJ45" s="2226"/>
      <c r="AK45" s="1194" t="s">
        <v>1680</v>
      </c>
      <c r="AM45" s="428"/>
      <c r="AN45" s="428" t="str">
        <f t="shared" si="1"/>
        <v>Группа потребителей</v>
      </c>
      <c r="AO45" s="428"/>
      <c r="AP45" s="428"/>
    </row>
    <row r="46" spans="1:42" ht="23.25" customHeight="1">
      <c r="A46" s="1244" t="s">
        <v>243</v>
      </c>
      <c r="B46" s="1244" t="s">
        <v>244</v>
      </c>
      <c r="C46" s="1244" t="s">
        <v>245</v>
      </c>
      <c r="D46" s="1244" t="s">
        <v>2105</v>
      </c>
      <c r="E46" s="2236"/>
      <c r="F46" s="2236"/>
      <c r="G46" s="2236"/>
      <c r="H46" s="2236"/>
      <c r="I46" s="2238"/>
      <c r="J46" s="2238"/>
      <c r="K46" s="2237" t="str">
        <f>J45&amp;".1"</f>
        <v>...1.1.1</v>
      </c>
      <c r="L46" s="1245"/>
      <c r="P46" s="2157"/>
      <c r="Q46" s="2157"/>
      <c r="R46" s="281">
        <v>1</v>
      </c>
      <c r="S46" s="1355" t="str">
        <f>$K46</f>
        <v>...1.1.1</v>
      </c>
      <c r="T46" s="1306"/>
      <c r="U46" s="218"/>
      <c r="V46" s="1671"/>
      <c r="W46" s="1671"/>
      <c r="X46" s="1672"/>
      <c r="Y46" s="2233"/>
      <c r="Z46" s="2232" t="s">
        <v>66</v>
      </c>
      <c r="AA46" s="2233"/>
      <c r="AB46" s="2232" t="s">
        <v>66</v>
      </c>
      <c r="AC46" s="1667"/>
      <c r="AD46" s="1667"/>
      <c r="AE46" s="1669"/>
      <c r="AF46" s="2239"/>
      <c r="AG46" s="2031" t="s">
        <v>66</v>
      </c>
      <c r="AH46" s="2241"/>
      <c r="AI46" s="2031" t="s">
        <v>56</v>
      </c>
      <c r="AJ46" s="1706"/>
      <c r="AK46" s="233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9" t="e">
        <f ca="1">STRCHECKDATE(V47:AJ47)</f>
        <v>#NAME?</v>
      </c>
      <c r="AM46" s="428"/>
      <c r="AN46" s="428" t="str">
        <f t="shared" si="1"/>
        <v/>
      </c>
      <c r="AO46" s="428"/>
      <c r="AP46" s="428"/>
    </row>
    <row r="47" spans="1:42" ht="0" hidden="1" customHeight="1">
      <c r="A47" s="1244" t="s">
        <v>243</v>
      </c>
      <c r="B47" s="1244" t="s">
        <v>244</v>
      </c>
      <c r="C47" s="1244" t="s">
        <v>245</v>
      </c>
      <c r="D47" s="1244" t="s">
        <v>2105</v>
      </c>
      <c r="E47" s="2236"/>
      <c r="F47" s="2236"/>
      <c r="G47" s="2236"/>
      <c r="H47" s="2236"/>
      <c r="I47" s="2238"/>
      <c r="J47" s="2238"/>
      <c r="K47" s="2237"/>
      <c r="L47" s="1245"/>
      <c r="P47" s="2157"/>
      <c r="Q47" s="2157"/>
      <c r="R47" s="281"/>
      <c r="S47" s="1352"/>
      <c r="T47" s="218"/>
      <c r="U47" s="218"/>
      <c r="V47" s="1671"/>
      <c r="W47" s="1671"/>
      <c r="X47" s="1670" t="str">
        <f>Y46&amp;"-"&amp;AA46</f>
        <v>-</v>
      </c>
      <c r="Y47" s="2232"/>
      <c r="Z47" s="2232"/>
      <c r="AA47" s="2232"/>
      <c r="AB47" s="2232"/>
      <c r="AC47" s="1668"/>
      <c r="AD47" s="1668"/>
      <c r="AE47" s="1670" t="str">
        <f>AF46&amp;"-"&amp;AH46</f>
        <v>-</v>
      </c>
      <c r="AF47" s="2240"/>
      <c r="AG47" s="2031"/>
      <c r="AH47" s="2242"/>
      <c r="AI47" s="2031"/>
      <c r="AJ47" s="1707"/>
      <c r="AK47" s="2333"/>
      <c r="AM47" s="428"/>
      <c r="AN47" s="428" t="str">
        <f t="shared" si="1"/>
        <v/>
      </c>
      <c r="AO47" s="428"/>
      <c r="AP47" s="428"/>
    </row>
    <row r="48" spans="1:42" ht="21" customHeight="1">
      <c r="A48" s="1244" t="s">
        <v>243</v>
      </c>
      <c r="B48" s="1244" t="s">
        <v>244</v>
      </c>
      <c r="C48" s="1244" t="s">
        <v>245</v>
      </c>
      <c r="D48" s="1244" t="s">
        <v>2105</v>
      </c>
      <c r="E48" s="2236"/>
      <c r="F48" s="2236"/>
      <c r="G48" s="2236"/>
      <c r="H48" s="2236"/>
      <c r="I48" s="2238"/>
      <c r="J48" s="2237"/>
      <c r="K48" s="1244"/>
      <c r="L48" s="1245"/>
      <c r="P48" s="2157"/>
      <c r="Q48" s="2157"/>
      <c r="R48" s="280"/>
      <c r="S48" s="1161"/>
      <c r="T48" s="205" t="s">
        <v>1681</v>
      </c>
      <c r="U48" s="294"/>
      <c r="V48" s="294"/>
      <c r="W48" s="294"/>
      <c r="X48" s="294"/>
      <c r="Y48" s="294"/>
      <c r="Z48" s="294"/>
      <c r="AA48" s="294"/>
      <c r="AB48" s="294"/>
      <c r="AC48" s="294"/>
      <c r="AD48" s="294"/>
      <c r="AE48" s="294"/>
      <c r="AF48" s="294"/>
      <c r="AG48" s="294"/>
      <c r="AH48" s="294"/>
      <c r="AI48" s="294"/>
      <c r="AJ48" s="294"/>
      <c r="AK48" s="1140" t="s">
        <v>1682</v>
      </c>
      <c r="AM48" s="428"/>
      <c r="AN48" s="428" t="str">
        <f t="shared" si="1"/>
        <v>Добавить значение признака дифференциации</v>
      </c>
      <c r="AO48" s="428"/>
      <c r="AP48" s="428"/>
    </row>
    <row r="49" spans="1:42" ht="21" customHeight="1">
      <c r="A49" s="1244" t="s">
        <v>243</v>
      </c>
      <c r="B49" s="1244" t="s">
        <v>244</v>
      </c>
      <c r="C49" s="1244" t="s">
        <v>245</v>
      </c>
      <c r="D49" s="1244" t="s">
        <v>2105</v>
      </c>
      <c r="E49" s="2236"/>
      <c r="F49" s="2236"/>
      <c r="G49" s="2236"/>
      <c r="H49" s="2236"/>
      <c r="I49" s="2237"/>
      <c r="J49" s="1244"/>
      <c r="K49" s="1244"/>
      <c r="L49" s="1245"/>
      <c r="P49" s="2157"/>
      <c r="Q49" s="1343"/>
      <c r="R49" s="280"/>
      <c r="S49" s="1161"/>
      <c r="T49" s="291" t="s">
        <v>1476</v>
      </c>
      <c r="U49" s="294"/>
      <c r="V49" s="294"/>
      <c r="W49" s="294"/>
      <c r="X49" s="294"/>
      <c r="Y49" s="294"/>
      <c r="Z49" s="294"/>
      <c r="AA49" s="294"/>
      <c r="AB49" s="293"/>
      <c r="AC49" s="294"/>
      <c r="AD49" s="294"/>
      <c r="AE49" s="294"/>
      <c r="AF49" s="294"/>
      <c r="AG49" s="294"/>
      <c r="AH49" s="294"/>
      <c r="AI49" s="293"/>
      <c r="AJ49" s="294"/>
      <c r="AK49" s="1307"/>
      <c r="AM49" s="428"/>
      <c r="AN49" s="428" t="str">
        <f t="shared" si="1"/>
        <v>Добавить группу потребителей</v>
      </c>
      <c r="AO49" s="428"/>
      <c r="AP49" s="428"/>
    </row>
    <row r="50" spans="1:42" ht="21" customHeight="1">
      <c r="A50" s="1244" t="s">
        <v>243</v>
      </c>
      <c r="B50" s="1244" t="s">
        <v>244</v>
      </c>
      <c r="C50" s="1244" t="s">
        <v>245</v>
      </c>
      <c r="D50" s="1244" t="s">
        <v>2105</v>
      </c>
      <c r="E50" s="2236"/>
      <c r="F50" s="2236"/>
      <c r="G50" s="2236"/>
      <c r="H50" s="2235"/>
      <c r="I50" s="1244"/>
      <c r="J50" s="1244"/>
      <c r="K50" s="1244"/>
      <c r="L50" s="1245"/>
      <c r="M50" s="1246"/>
      <c r="N50" s="1246"/>
      <c r="O50" s="464"/>
      <c r="P50" s="284"/>
      <c r="Q50" s="303"/>
      <c r="R50" s="279"/>
      <c r="S50" s="1161"/>
      <c r="T50" s="299" t="s">
        <v>1683</v>
      </c>
      <c r="U50" s="294"/>
      <c r="V50" s="294"/>
      <c r="W50" s="294"/>
      <c r="X50" s="294"/>
      <c r="Y50" s="294"/>
      <c r="Z50" s="294"/>
      <c r="AA50" s="294"/>
      <c r="AB50" s="293"/>
      <c r="AC50" s="294"/>
      <c r="AD50" s="294"/>
      <c r="AE50" s="294"/>
      <c r="AF50" s="294"/>
      <c r="AG50" s="294"/>
      <c r="AH50" s="294"/>
      <c r="AI50" s="293"/>
      <c r="AJ50" s="294"/>
      <c r="AK50" s="221"/>
      <c r="AM50" s="428"/>
      <c r="AN50" s="428" t="str">
        <f t="shared" si="1"/>
        <v>Добавить наименование признака дифференциации</v>
      </c>
      <c r="AO50" s="428"/>
      <c r="AP50" s="428"/>
    </row>
    <row r="51" spans="1:42" s="1772" customFormat="1" ht="0.75" customHeight="1">
      <c r="A51" s="1228" t="s">
        <v>243</v>
      </c>
      <c r="B51" s="1228" t="s">
        <v>244</v>
      </c>
      <c r="C51" s="1200"/>
      <c r="D51" s="1200"/>
      <c r="E51" s="2236"/>
      <c r="F51" s="2235"/>
      <c r="G51" s="1200"/>
      <c r="H51" s="1200"/>
      <c r="I51" s="1200"/>
      <c r="J51" s="1200"/>
      <c r="K51" s="1200"/>
      <c r="L51" s="1356"/>
      <c r="M51" s="1207"/>
      <c r="N51" s="1207"/>
      <c r="P51" s="1202"/>
      <c r="Q51" s="1203"/>
      <c r="R51" s="1202"/>
      <c r="S51" s="1208"/>
      <c r="T51" s="1211" t="s">
        <v>1437</v>
      </c>
      <c r="U51" s="1210"/>
      <c r="V51" s="1210"/>
      <c r="W51" s="1210"/>
      <c r="X51" s="1210"/>
      <c r="Y51" s="1210"/>
      <c r="Z51" s="1210"/>
      <c r="AA51" s="1210"/>
      <c r="AB51" s="1210"/>
      <c r="AC51" s="1210"/>
      <c r="AD51" s="1210"/>
      <c r="AE51" s="1210"/>
      <c r="AF51" s="1210"/>
      <c r="AG51" s="1210"/>
      <c r="AH51" s="1210"/>
      <c r="AI51" s="1210"/>
      <c r="AJ51" s="1210"/>
      <c r="AK51" s="1210"/>
      <c r="AM51" s="696"/>
      <c r="AN51" s="696" t="str">
        <f t="shared" si="1"/>
        <v>Добавить централизованную систему для дифференциации</v>
      </c>
      <c r="AO51" s="696"/>
      <c r="AP51" s="696"/>
    </row>
    <row r="52" spans="1:42" s="1772" customFormat="1" ht="0.75" customHeight="1">
      <c r="A52" s="1228" t="s">
        <v>243</v>
      </c>
      <c r="B52" s="1228"/>
      <c r="C52" s="1228"/>
      <c r="D52" s="1228"/>
      <c r="E52" s="2235"/>
      <c r="F52" s="1228"/>
      <c r="G52" s="1228"/>
      <c r="H52" s="1228"/>
      <c r="I52" s="1228"/>
      <c r="J52" s="1228"/>
      <c r="K52" s="1228"/>
      <c r="L52" s="1231"/>
      <c r="M52" s="1207"/>
      <c r="N52" s="1207"/>
      <c r="O52" s="446"/>
      <c r="P52" s="311"/>
      <c r="Q52" s="1229"/>
      <c r="R52" s="311"/>
      <c r="S52" s="1208"/>
      <c r="T52" s="1211" t="s">
        <v>1438</v>
      </c>
      <c r="U52" s="1210"/>
      <c r="V52" s="1210"/>
      <c r="W52" s="1210"/>
      <c r="X52" s="1210"/>
      <c r="Y52" s="1210"/>
      <c r="Z52" s="1210"/>
      <c r="AA52" s="1210"/>
      <c r="AB52" s="1210"/>
      <c r="AC52" s="1210"/>
      <c r="AD52" s="1210"/>
      <c r="AE52" s="1210"/>
      <c r="AF52" s="1210"/>
      <c r="AG52" s="1210"/>
      <c r="AH52" s="1210"/>
      <c r="AI52" s="1210"/>
      <c r="AJ52" s="1210"/>
      <c r="AK52" s="1210"/>
      <c r="AM52" s="428"/>
      <c r="AN52" s="428" t="str">
        <f t="shared" si="1"/>
        <v>Добавить территорию для дифференциации</v>
      </c>
      <c r="AO52" s="428"/>
      <c r="AP52" s="428"/>
    </row>
    <row r="53" spans="1:42" s="1772" customFormat="1" ht="0.75" customHeight="1">
      <c r="A53" s="1200"/>
      <c r="B53" s="1200"/>
      <c r="C53" s="1200"/>
      <c r="D53" s="1200"/>
      <c r="E53" s="1228"/>
      <c r="F53" s="1200"/>
      <c r="G53" s="1200"/>
      <c r="H53" s="1200"/>
      <c r="I53" s="1200"/>
      <c r="J53" s="1200"/>
      <c r="K53" s="1200"/>
      <c r="L53" s="1356"/>
      <c r="M53" s="1207"/>
      <c r="N53" s="1207"/>
      <c r="P53" s="1202"/>
      <c r="Q53" s="1203"/>
      <c r="R53" s="1202"/>
      <c r="S53" s="1208"/>
      <c r="T53" s="1211" t="s">
        <v>1439</v>
      </c>
      <c r="U53" s="1210"/>
      <c r="V53" s="1210"/>
      <c r="W53" s="1210"/>
      <c r="X53" s="1210"/>
      <c r="Y53" s="1210"/>
      <c r="Z53" s="1210"/>
      <c r="AA53" s="1210"/>
      <c r="AB53" s="1210"/>
      <c r="AC53" s="1210"/>
      <c r="AD53" s="1210"/>
      <c r="AE53" s="1210"/>
      <c r="AF53" s="1210"/>
      <c r="AG53" s="1210"/>
      <c r="AH53" s="1210"/>
      <c r="AI53" s="1210"/>
      <c r="AJ53" s="1210"/>
      <c r="AK53" s="1210"/>
      <c r="AM53" s="696"/>
      <c r="AN53" s="696" t="str">
        <f t="shared" si="1"/>
        <v>Добавить наименование тарифа</v>
      </c>
      <c r="AO53" s="696"/>
      <c r="AP53" s="696"/>
    </row>
    <row r="54" spans="1:42" ht="11.25" customHeight="1">
      <c r="M54" s="1036"/>
      <c r="N54" s="1036"/>
      <c r="O54" s="464"/>
      <c r="P54" s="1031"/>
      <c r="Q54" s="1031"/>
      <c r="R54" s="1031"/>
      <c r="S54" s="1031"/>
      <c r="AL54" s="1031"/>
      <c r="AM54" s="1031"/>
      <c r="AN54" s="1031"/>
      <c r="AO54" s="1031"/>
      <c r="AP54" s="1031"/>
    </row>
    <row r="55" spans="1:42" ht="14.25" customHeight="1">
      <c r="O55" s="464"/>
      <c r="S55" s="1128" t="s">
        <v>1509</v>
      </c>
      <c r="T55" s="2234" t="s">
        <v>2106</v>
      </c>
      <c r="U55" s="2234"/>
      <c r="V55" s="2234"/>
      <c r="W55" s="2234"/>
      <c r="X55" s="2234"/>
      <c r="Y55" s="2234"/>
      <c r="Z55" s="2234"/>
      <c r="AA55" s="2234"/>
      <c r="AB55" s="2234"/>
      <c r="AC55" s="2234"/>
      <c r="AD55" s="2234"/>
      <c r="AE55" s="2234"/>
      <c r="AF55" s="2234"/>
      <c r="AG55" s="2234"/>
      <c r="AH55" s="2234"/>
      <c r="AI55" s="2234"/>
      <c r="AJ55" s="2234"/>
      <c r="AK55" s="2234"/>
    </row>
    <row r="56" spans="1:42" ht="14.25" customHeight="1">
      <c r="O56" s="464"/>
    </row>
    <row r="57" spans="1:42" ht="14.25" customHeight="1">
      <c r="O57" s="464"/>
      <c r="S57" s="1128" t="s">
        <v>1509</v>
      </c>
      <c r="T57" s="2234" t="s">
        <v>2107</v>
      </c>
      <c r="U57" s="2234"/>
      <c r="V57" s="2234"/>
      <c r="W57" s="2234"/>
      <c r="X57" s="2234"/>
      <c r="Y57" s="2234"/>
      <c r="Z57" s="2234"/>
      <c r="AA57" s="2234"/>
      <c r="AB57" s="2234"/>
      <c r="AC57" s="2234"/>
      <c r="AD57" s="2234"/>
      <c r="AE57" s="2234"/>
      <c r="AF57" s="2234"/>
      <c r="AG57" s="2234"/>
      <c r="AH57" s="2234"/>
      <c r="AI57" s="2234"/>
      <c r="AJ57" s="2234"/>
      <c r="AK57" s="2234"/>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Q130"/>
  <sheetViews>
    <sheetView showGridLines="0" topLeftCell="C4" zoomScale="90" workbookViewId="0"/>
  </sheetViews>
  <sheetFormatPr defaultColWidth="9.140625" defaultRowHeight="11.25" customHeight="1"/>
  <cols>
    <col min="1" max="2" width="3.7109375" style="1765" hidden="1" customWidth="1"/>
    <col min="3" max="3" width="3.7109375" style="1950" customWidth="1"/>
    <col min="4" max="4" width="6.140625" style="1950" customWidth="1"/>
    <col min="5" max="5" width="43.140625" style="1950" customWidth="1"/>
    <col min="6" max="6" width="15" style="1950" customWidth="1"/>
    <col min="7" max="7" width="43.140625" style="1950" customWidth="1"/>
    <col min="8" max="8" width="3.7109375" style="1950" customWidth="1"/>
    <col min="9" max="9" width="5.42578125" style="1950" customWidth="1"/>
    <col min="10" max="10" width="47.85546875" style="1950" customWidth="1"/>
    <col min="11" max="12" width="3.7109375" style="1950" customWidth="1"/>
    <col min="13" max="13" width="5.7109375" style="1950" customWidth="1"/>
    <col min="14" max="14" width="28.140625" style="1950" customWidth="1"/>
    <col min="15" max="16" width="3.7109375" style="1950" customWidth="1"/>
    <col min="17" max="17" width="5.7109375" style="1950" customWidth="1"/>
    <col min="18" max="18" width="34.42578125" style="1950" customWidth="1"/>
    <col min="19" max="20" width="3.7109375" style="1950" customWidth="1"/>
    <col min="21" max="21" width="5.7109375" style="1950" customWidth="1"/>
    <col min="22" max="22" width="34.42578125" style="1950" customWidth="1"/>
    <col min="23" max="23" width="30.7109375" style="1950" customWidth="1"/>
    <col min="24" max="24" width="3.7109375" style="1950" customWidth="1"/>
    <col min="25" max="28" width="9.85546875" style="1935" hidden="1" customWidth="1"/>
    <col min="29" max="29" width="16.85546875" style="1765" hidden="1" customWidth="1"/>
    <col min="30" max="30" width="10.5703125" style="1765" hidden="1" customWidth="1"/>
    <col min="31" max="31" width="10.7109375" style="1765" hidden="1" customWidth="1"/>
    <col min="32" max="32" width="10" style="1765" hidden="1" customWidth="1"/>
    <col min="33" max="33" width="12.85546875" style="1765" hidden="1" customWidth="1"/>
    <col min="34" max="34" width="10.28515625" style="1765" hidden="1" customWidth="1"/>
    <col min="35" max="35" width="15.85546875" style="1765" hidden="1" customWidth="1"/>
    <col min="36" max="36" width="19.42578125" style="1765" hidden="1" customWidth="1"/>
    <col min="37" max="37" width="11" style="1765" hidden="1" customWidth="1"/>
    <col min="38" max="38" width="23.5703125" style="1765" hidden="1" customWidth="1"/>
    <col min="39" max="39" width="23.85546875" style="1765" hidden="1" customWidth="1"/>
    <col min="40" max="40" width="25.28515625" style="1765" hidden="1" customWidth="1"/>
    <col min="41" max="41" width="16.85546875" style="1765" hidden="1" customWidth="1"/>
    <col min="42" max="42" width="29.5703125" style="1765" hidden="1" customWidth="1"/>
    <col min="43" max="43" width="29.85546875" style="1765" hidden="1" customWidth="1"/>
  </cols>
  <sheetData>
    <row r="1" spans="1:43" ht="11.25" hidden="1" customHeight="1">
      <c r="A1" s="85"/>
    </row>
    <row r="2" spans="1:43" ht="11.25" hidden="1" customHeight="1"/>
    <row r="3" spans="1:43" ht="11.25" hidden="1" customHeight="1"/>
    <row r="4" spans="1:43" ht="3" customHeight="1"/>
    <row r="5" spans="1:43" s="1640" customFormat="1" ht="39" customHeight="1">
      <c r="A5" s="83"/>
      <c r="B5" s="83"/>
      <c r="D5" s="2014"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015"/>
      <c r="F5" s="2015"/>
      <c r="G5" s="2015"/>
      <c r="H5" s="2015"/>
      <c r="I5" s="2015"/>
      <c r="J5" s="2016"/>
      <c r="K5" s="183"/>
      <c r="L5" s="72"/>
      <c r="M5" s="72"/>
      <c r="N5" s="72"/>
      <c r="O5" s="72"/>
      <c r="P5" s="72"/>
      <c r="Q5" s="72"/>
      <c r="R5" s="72"/>
      <c r="S5" s="208"/>
      <c r="T5" s="208"/>
      <c r="U5" s="208"/>
      <c r="V5" s="208"/>
      <c r="W5" s="72"/>
      <c r="Y5" s="1143"/>
      <c r="Z5" s="1143"/>
      <c r="AA5" s="1143"/>
      <c r="AB5" s="1143"/>
      <c r="AC5" s="83"/>
      <c r="AD5" s="83"/>
      <c r="AE5" s="83"/>
      <c r="AF5" s="83"/>
      <c r="AG5" s="83"/>
      <c r="AH5" s="83"/>
      <c r="AI5" s="83"/>
      <c r="AJ5" s="83"/>
      <c r="AK5" s="83"/>
      <c r="AL5" s="83"/>
      <c r="AM5" s="83"/>
      <c r="AN5" s="83"/>
      <c r="AO5" s="83"/>
      <c r="AP5" s="83"/>
      <c r="AQ5" s="83"/>
    </row>
    <row r="6" spans="1:43" s="1640" customFormat="1" ht="15" customHeight="1">
      <c r="A6" s="511"/>
      <c r="B6" s="511"/>
      <c r="C6" s="511"/>
      <c r="D6" s="2077" t="str">
        <f>IF(org=0,"Не определено",org)</f>
        <v>ООО "Автозаводская ТЭЦ"</v>
      </c>
      <c r="E6" s="2077"/>
      <c r="F6" s="2077"/>
      <c r="G6" s="2077"/>
      <c r="H6" s="2077"/>
      <c r="I6" s="2077"/>
      <c r="J6" s="2077"/>
      <c r="K6" s="512"/>
      <c r="L6" s="512"/>
      <c r="M6" s="512"/>
      <c r="N6" s="512"/>
      <c r="O6" s="769"/>
      <c r="P6" s="769"/>
      <c r="Q6" s="769"/>
      <c r="R6" s="769"/>
      <c r="S6" s="769"/>
      <c r="T6" s="769"/>
      <c r="U6" s="769"/>
      <c r="V6" s="769"/>
      <c r="W6" s="769"/>
      <c r="X6" s="512"/>
      <c r="Y6" s="1144"/>
      <c r="Z6" s="1144"/>
      <c r="AA6" s="1144"/>
      <c r="AB6" s="1144"/>
      <c r="AC6" s="769"/>
      <c r="AD6" s="769"/>
      <c r="AE6" s="769"/>
      <c r="AF6" s="769"/>
      <c r="AG6" s="769"/>
      <c r="AH6" s="769"/>
      <c r="AI6" s="769"/>
      <c r="AJ6" s="769"/>
      <c r="AK6" s="769"/>
      <c r="AL6" s="769"/>
      <c r="AM6" s="769"/>
      <c r="AN6" s="769"/>
      <c r="AO6" s="769"/>
      <c r="AP6" s="769"/>
      <c r="AQ6" s="769"/>
    </row>
    <row r="7" spans="1:43" s="1639" customFormat="1" ht="11.25" customHeight="1">
      <c r="A7" s="133"/>
      <c r="B7" s="133"/>
      <c r="D7" s="2074"/>
      <c r="E7" s="2075"/>
      <c r="F7" s="2075"/>
      <c r="G7" s="2075"/>
      <c r="H7" s="2075"/>
      <c r="I7" s="2075"/>
      <c r="J7" s="2076"/>
      <c r="S7" s="217"/>
      <c r="T7" s="217"/>
      <c r="U7" s="217"/>
      <c r="V7" s="217"/>
      <c r="Y7" s="1145"/>
      <c r="Z7" s="1145"/>
      <c r="AA7" s="1145"/>
      <c r="AB7" s="1145"/>
      <c r="AC7" s="133"/>
      <c r="AD7" s="133"/>
      <c r="AE7" s="133"/>
      <c r="AF7" s="133"/>
      <c r="AG7" s="133"/>
      <c r="AH7" s="133"/>
      <c r="AI7" s="133"/>
      <c r="AJ7" s="133"/>
      <c r="AK7" s="133"/>
      <c r="AL7" s="133"/>
      <c r="AM7" s="133"/>
      <c r="AN7" s="133"/>
      <c r="AO7" s="133"/>
      <c r="AP7" s="133"/>
      <c r="AQ7" s="133"/>
    </row>
    <row r="8" spans="1:43" s="1640" customFormat="1" ht="0.75" customHeight="1">
      <c r="A8" s="83"/>
      <c r="B8" s="83"/>
      <c r="D8" s="134"/>
      <c r="E8" s="134"/>
      <c r="F8" s="134"/>
      <c r="G8" s="134"/>
      <c r="H8" s="134"/>
      <c r="I8" s="134"/>
      <c r="J8" s="134"/>
      <c r="K8" s="134"/>
      <c r="L8" s="134"/>
      <c r="M8" s="134"/>
      <c r="N8" s="134"/>
      <c r="O8" s="134"/>
      <c r="P8" s="134"/>
      <c r="Q8" s="134"/>
      <c r="R8" s="134"/>
      <c r="S8" s="134"/>
      <c r="T8" s="134"/>
      <c r="U8" s="134"/>
      <c r="V8" s="134"/>
      <c r="W8" s="134"/>
      <c r="X8" s="62"/>
      <c r="Y8" s="1143"/>
      <c r="Z8" s="1143"/>
      <c r="AA8" s="1143"/>
      <c r="AB8" s="1143"/>
      <c r="AC8" s="83"/>
      <c r="AD8" s="83"/>
      <c r="AE8" s="83"/>
      <c r="AF8" s="83"/>
      <c r="AG8" s="83"/>
      <c r="AH8" s="83"/>
      <c r="AI8" s="83"/>
      <c r="AJ8" s="83"/>
      <c r="AK8" s="83"/>
      <c r="AL8" s="83"/>
      <c r="AM8" s="83"/>
      <c r="AN8" s="83"/>
      <c r="AO8" s="83"/>
      <c r="AP8" s="83"/>
      <c r="AQ8" s="83"/>
    </row>
    <row r="9" spans="1:43" ht="27" customHeight="1">
      <c r="D9" s="2021" t="s">
        <v>88</v>
      </c>
      <c r="E9" s="2003" t="s">
        <v>123</v>
      </c>
      <c r="F9" s="2002"/>
      <c r="G9" s="2021" t="s">
        <v>105</v>
      </c>
      <c r="H9" s="2021" t="s">
        <v>88</v>
      </c>
      <c r="I9" s="2021"/>
      <c r="J9" s="2021" t="s">
        <v>124</v>
      </c>
      <c r="K9" s="2078" t="s">
        <v>125</v>
      </c>
      <c r="L9" s="2078"/>
      <c r="M9" s="2078"/>
      <c r="N9" s="2078"/>
      <c r="O9" s="2078" t="s">
        <v>126</v>
      </c>
      <c r="P9" s="2078"/>
      <c r="Q9" s="2078"/>
      <c r="R9" s="2078"/>
      <c r="S9" s="2078" t="s">
        <v>127</v>
      </c>
      <c r="T9" s="2078"/>
      <c r="U9" s="2078"/>
      <c r="V9" s="2078"/>
      <c r="W9" s="2021" t="s">
        <v>128</v>
      </c>
      <c r="Z9" s="1251"/>
      <c r="AA9" s="1251"/>
      <c r="AB9" s="1251"/>
    </row>
    <row r="10" spans="1:43" ht="30" customHeight="1">
      <c r="D10" s="2021"/>
      <c r="E10" s="1166" t="s">
        <v>89</v>
      </c>
      <c r="F10" s="1166" t="s">
        <v>129</v>
      </c>
      <c r="G10" s="2021"/>
      <c r="H10" s="2021"/>
      <c r="I10" s="2021"/>
      <c r="J10" s="2021"/>
      <c r="K10" s="46" t="s">
        <v>108</v>
      </c>
      <c r="L10" s="2021" t="s">
        <v>88</v>
      </c>
      <c r="M10" s="2021"/>
      <c r="N10" s="46" t="s">
        <v>130</v>
      </c>
      <c r="O10" s="46" t="s">
        <v>108</v>
      </c>
      <c r="P10" s="2021" t="s">
        <v>88</v>
      </c>
      <c r="Q10" s="2021"/>
      <c r="R10" s="46" t="s">
        <v>130</v>
      </c>
      <c r="S10" s="201" t="s">
        <v>108</v>
      </c>
      <c r="T10" s="2021" t="s">
        <v>88</v>
      </c>
      <c r="U10" s="2021"/>
      <c r="V10" s="201" t="s">
        <v>89</v>
      </c>
      <c r="W10" s="2021"/>
      <c r="Z10" s="1251" t="s">
        <v>131</v>
      </c>
      <c r="AA10" s="1251" t="s">
        <v>132</v>
      </c>
      <c r="AB10" s="1251" t="s">
        <v>133</v>
      </c>
      <c r="AC10" s="194" t="s">
        <v>134</v>
      </c>
      <c r="AD10" s="194" t="s">
        <v>135</v>
      </c>
      <c r="AE10" s="194" t="s">
        <v>136</v>
      </c>
      <c r="AF10" s="194" t="s">
        <v>137</v>
      </c>
      <c r="AG10" s="194" t="s">
        <v>138</v>
      </c>
      <c r="AH10" s="194" t="s">
        <v>139</v>
      </c>
      <c r="AI10" s="194" t="s">
        <v>140</v>
      </c>
      <c r="AJ10" s="194" t="s">
        <v>141</v>
      </c>
      <c r="AK10" s="194" t="s">
        <v>142</v>
      </c>
      <c r="AL10" s="194" t="s">
        <v>143</v>
      </c>
      <c r="AM10" s="194" t="s">
        <v>144</v>
      </c>
      <c r="AN10" s="194" t="s">
        <v>145</v>
      </c>
      <c r="AO10" s="194" t="s">
        <v>146</v>
      </c>
      <c r="AP10" s="194" t="s">
        <v>147</v>
      </c>
      <c r="AQ10" s="194" t="s">
        <v>148</v>
      </c>
    </row>
    <row r="11" spans="1:43" s="1765" customFormat="1" ht="12" hidden="1" customHeight="1">
      <c r="D11" s="1123" t="s">
        <v>109</v>
      </c>
      <c r="E11" s="1123" t="s">
        <v>110</v>
      </c>
      <c r="F11" s="1123"/>
      <c r="G11" s="1123" t="s">
        <v>90</v>
      </c>
      <c r="H11" s="2073" t="s">
        <v>111</v>
      </c>
      <c r="I11" s="2073"/>
      <c r="J11" s="1123" t="s">
        <v>92</v>
      </c>
      <c r="K11" s="1123" t="s">
        <v>93</v>
      </c>
      <c r="L11" s="2073" t="s">
        <v>112</v>
      </c>
      <c r="M11" s="2073"/>
      <c r="N11" s="1123" t="s">
        <v>149</v>
      </c>
      <c r="O11" s="1123" t="s">
        <v>150</v>
      </c>
      <c r="P11" s="2073" t="s">
        <v>151</v>
      </c>
      <c r="Q11" s="2073"/>
      <c r="R11" s="1123" t="s">
        <v>152</v>
      </c>
      <c r="S11" s="1123" t="s">
        <v>151</v>
      </c>
      <c r="T11" s="2073" t="s">
        <v>152</v>
      </c>
      <c r="U11" s="2073"/>
      <c r="V11" s="1123" t="s">
        <v>153</v>
      </c>
      <c r="W11" s="1123" t="s">
        <v>154</v>
      </c>
    </row>
    <row r="12" spans="1:43" ht="14.25" hidden="1" customHeight="1">
      <c r="C12" s="131"/>
      <c r="D12" s="1165">
        <v>0</v>
      </c>
      <c r="E12" s="169"/>
      <c r="F12" s="169"/>
      <c r="G12" s="169"/>
      <c r="H12" s="170"/>
      <c r="I12" s="170"/>
      <c r="J12" s="87"/>
      <c r="K12" s="47"/>
      <c r="L12" s="87"/>
      <c r="M12" s="87"/>
      <c r="N12" s="171"/>
      <c r="O12" s="47"/>
      <c r="P12" s="87"/>
      <c r="Q12" s="87"/>
      <c r="R12" s="172"/>
      <c r="S12" s="202"/>
      <c r="T12" s="210"/>
      <c r="U12" s="210"/>
      <c r="V12" s="214"/>
      <c r="W12" s="47"/>
      <c r="X12" s="71"/>
    </row>
    <row r="13" spans="1:43" s="1950" customFormat="1" ht="17.25" hidden="1" customHeight="1">
      <c r="A13" s="246"/>
      <c r="C13" s="131"/>
      <c r="D13" s="2041">
        <v>1</v>
      </c>
      <c r="E13" s="2043" t="s">
        <v>155</v>
      </c>
      <c r="F13" s="2045" t="s">
        <v>56</v>
      </c>
      <c r="G13" s="2048"/>
      <c r="H13" s="2050"/>
      <c r="I13" s="2052"/>
      <c r="J13" s="2054"/>
      <c r="K13" s="2039"/>
      <c r="L13" s="2039"/>
      <c r="M13" s="2039"/>
      <c r="N13" s="2057"/>
      <c r="O13" s="2039"/>
      <c r="P13" s="2039"/>
      <c r="Q13" s="2039"/>
      <c r="R13" s="2060"/>
      <c r="S13" s="2039"/>
      <c r="T13" s="1289"/>
      <c r="U13" s="1289"/>
      <c r="V13" s="1288"/>
      <c r="W13" s="1181"/>
      <c r="Y13" s="1149"/>
      <c r="Z13" s="1149"/>
      <c r="AA13" s="1149"/>
      <c r="AB13" s="1149"/>
      <c r="AC13" s="1228" t="s">
        <v>156</v>
      </c>
      <c r="AD13" s="1228" t="s">
        <v>157</v>
      </c>
      <c r="AE13" s="1228" t="s">
        <v>158</v>
      </c>
      <c r="AF13" s="1228" t="s">
        <v>159</v>
      </c>
      <c r="AG13" s="1228" t="s">
        <v>160</v>
      </c>
      <c r="AH13" s="122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28" t="str">
        <f>IF($G$13=0,"",$G$13)</f>
        <v/>
      </c>
      <c r="AJ13" s="1228" t="str">
        <f>IF($J$13=0,"",$J$13)</f>
        <v/>
      </c>
      <c r="AK13" s="1228" t="str">
        <f>IF($K$13="нет","без дифференциации",IF($N$13=0,"",$N$13))</f>
        <v/>
      </c>
      <c r="AL13" s="1228" t="str">
        <f>IF($O$13="нет","без дифференциации",IF($R$13=0,"",$R$13))</f>
        <v/>
      </c>
      <c r="AM13" s="1228" t="str">
        <f>IF($S$13="нет","без дифференциации",IF($V$13=0,"",$V$13))</f>
        <v/>
      </c>
      <c r="AN13" s="1228">
        <f>$I$13</f>
        <v>0</v>
      </c>
      <c r="AO13" s="1228" t="str">
        <f>$I$13&amp;"."&amp;$M$13</f>
        <v>.</v>
      </c>
      <c r="AP13" s="1228" t="str">
        <f>$I$13&amp;"."&amp;$M$13&amp;"."&amp;$Q$13</f>
        <v>..</v>
      </c>
      <c r="AQ13" s="1228" t="str">
        <f>$I$13&amp;"."&amp;$M$13&amp;"."&amp;$Q$13&amp;"."&amp;$U$13</f>
        <v>...</v>
      </c>
    </row>
    <row r="14" spans="1:43" s="1950" customFormat="1" ht="17.25" hidden="1" customHeight="1">
      <c r="A14" s="246"/>
      <c r="C14" s="245"/>
      <c r="D14" s="2041"/>
      <c r="E14" s="2043"/>
      <c r="F14" s="2046"/>
      <c r="G14" s="2048"/>
      <c r="H14" s="2051"/>
      <c r="I14" s="2053"/>
      <c r="J14" s="2055"/>
      <c r="K14" s="2040"/>
      <c r="L14" s="2040"/>
      <c r="M14" s="2040"/>
      <c r="N14" s="2058"/>
      <c r="O14" s="2040"/>
      <c r="P14" s="2040"/>
      <c r="Q14" s="2040"/>
      <c r="R14" s="2059"/>
      <c r="S14" s="2040"/>
      <c r="T14" s="1182"/>
      <c r="U14" s="1182"/>
      <c r="V14" s="1182"/>
      <c r="W14" s="1183"/>
      <c r="Y14" s="1142"/>
      <c r="Z14" s="1142"/>
      <c r="AA14" s="1142"/>
      <c r="AB14" s="1142"/>
      <c r="AC14" s="194"/>
      <c r="AD14" s="194"/>
      <c r="AE14" s="194"/>
      <c r="AF14" s="194"/>
      <c r="AG14" s="194"/>
      <c r="AH14" s="194"/>
      <c r="AI14" s="194"/>
      <c r="AJ14" s="194"/>
      <c r="AK14" s="194"/>
      <c r="AL14" s="194"/>
      <c r="AM14" s="194"/>
      <c r="AN14" s="194"/>
      <c r="AO14" s="194"/>
      <c r="AP14" s="194"/>
      <c r="AQ14" s="194"/>
    </row>
    <row r="15" spans="1:43" s="1950" customFormat="1" ht="17.25" hidden="1" customHeight="1">
      <c r="A15" s="246"/>
      <c r="C15" s="131"/>
      <c r="D15" s="2041"/>
      <c r="E15" s="2043"/>
      <c r="F15" s="2046"/>
      <c r="G15" s="2048"/>
      <c r="H15" s="2051"/>
      <c r="I15" s="2053"/>
      <c r="J15" s="2056"/>
      <c r="K15" s="2040"/>
      <c r="L15" s="2040"/>
      <c r="M15" s="2040"/>
      <c r="N15" s="2059"/>
      <c r="O15" s="2040"/>
      <c r="P15" s="1287"/>
      <c r="Q15" s="1182"/>
      <c r="R15" s="1182"/>
      <c r="S15" s="255"/>
      <c r="T15" s="255"/>
      <c r="U15" s="255"/>
      <c r="V15" s="255"/>
      <c r="W15" s="1183"/>
      <c r="Y15" s="1149"/>
      <c r="Z15" s="1149"/>
      <c r="AA15" s="1149"/>
      <c r="AB15" s="1149"/>
      <c r="AC15" s="1228" t="s">
        <v>156</v>
      </c>
      <c r="AD15" s="1228" t="s">
        <v>157</v>
      </c>
      <c r="AE15" s="1228" t="s">
        <v>158</v>
      </c>
      <c r="AF15" s="1228" t="s">
        <v>161</v>
      </c>
      <c r="AG15" s="1228" t="s">
        <v>162</v>
      </c>
      <c r="AH15" s="122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5" s="1228" t="str">
        <f>IF($G$13=0,"",$G$13)</f>
        <v/>
      </c>
      <c r="AJ15" s="1228" t="str">
        <f>IF($J$13=0,"",$J$13)</f>
        <v/>
      </c>
      <c r="AK15" s="1228" t="str">
        <f>IF($K$13="нет","без дифференциации",IF($N$13=0,"",$N$13))</f>
        <v/>
      </c>
      <c r="AL15" s="1228" t="str">
        <f>IF($O$15="нет","без дифференциации",IF($R$15=0,"",$R$15))</f>
        <v/>
      </c>
      <c r="AM15" s="1228" t="str">
        <f>IF($S$15="нет","без дифференциации",IF($V$15=0,"",$V$15))</f>
        <v/>
      </c>
      <c r="AN15" s="1228">
        <f>$I$13</f>
        <v>0</v>
      </c>
      <c r="AO15" s="1228" t="str">
        <f>$I$13&amp;"."&amp;$M$13</f>
        <v>.</v>
      </c>
      <c r="AP15" s="1228" t="str">
        <f>$I$13&amp;"."&amp;$M$13&amp;"."&amp;$Q$15</f>
        <v>..</v>
      </c>
      <c r="AQ15" s="1228" t="str">
        <f>$I$13&amp;"."&amp;$M$13&amp;"."&amp;$Q$15&amp;"."&amp;$U$15</f>
        <v>...</v>
      </c>
    </row>
    <row r="16" spans="1:43" s="1950" customFormat="1" ht="17.25" hidden="1" customHeight="1">
      <c r="A16" s="246"/>
      <c r="C16" s="245"/>
      <c r="D16" s="2041"/>
      <c r="E16" s="2043"/>
      <c r="F16" s="2046"/>
      <c r="G16" s="2048"/>
      <c r="H16" s="2051"/>
      <c r="I16" s="2053"/>
      <c r="J16" s="2056"/>
      <c r="K16" s="2040"/>
      <c r="L16" s="1182"/>
      <c r="M16" s="1182"/>
      <c r="N16" s="1182"/>
      <c r="O16" s="1182"/>
      <c r="P16" s="1182"/>
      <c r="Q16" s="1182"/>
      <c r="R16" s="1182"/>
      <c r="S16" s="255"/>
      <c r="T16" s="255"/>
      <c r="U16" s="255"/>
      <c r="V16" s="255"/>
      <c r="W16" s="1183"/>
      <c r="Y16" s="1142"/>
      <c r="Z16" s="1142"/>
      <c r="AA16" s="1142"/>
      <c r="AB16" s="1142"/>
      <c r="AC16" s="194"/>
      <c r="AD16" s="194"/>
      <c r="AE16" s="194"/>
      <c r="AF16" s="194"/>
      <c r="AG16" s="194"/>
      <c r="AH16" s="194"/>
      <c r="AI16" s="194"/>
      <c r="AJ16" s="194"/>
      <c r="AK16" s="194"/>
      <c r="AL16" s="194"/>
      <c r="AM16" s="194"/>
      <c r="AN16" s="194"/>
      <c r="AO16" s="194"/>
      <c r="AP16" s="194"/>
      <c r="AQ16" s="194"/>
    </row>
    <row r="17" spans="1:43" s="1950" customFormat="1" ht="17.25" hidden="1" customHeight="1">
      <c r="A17" s="246"/>
      <c r="C17" s="245"/>
      <c r="D17" s="2042"/>
      <c r="E17" s="2044"/>
      <c r="F17" s="2047"/>
      <c r="G17" s="2049"/>
      <c r="H17" s="1185"/>
      <c r="I17" s="1186"/>
      <c r="J17" s="1186"/>
      <c r="K17" s="1186"/>
      <c r="L17" s="1186"/>
      <c r="M17" s="1186"/>
      <c r="N17" s="1186"/>
      <c r="O17" s="1186"/>
      <c r="P17" s="1186"/>
      <c r="Q17" s="1186"/>
      <c r="R17" s="1186"/>
      <c r="S17" s="1187"/>
      <c r="T17" s="1187"/>
      <c r="U17" s="1187"/>
      <c r="V17" s="1187"/>
      <c r="W17" s="1188"/>
      <c r="Y17" s="1142"/>
      <c r="Z17" s="1142"/>
      <c r="AA17" s="1142"/>
      <c r="AB17" s="1142"/>
      <c r="AC17" s="194"/>
      <c r="AD17" s="194"/>
      <c r="AE17" s="194"/>
      <c r="AF17" s="194"/>
      <c r="AG17" s="194"/>
      <c r="AH17" s="194"/>
      <c r="AI17" s="194"/>
      <c r="AJ17" s="194"/>
      <c r="AK17" s="194"/>
      <c r="AL17" s="194"/>
      <c r="AM17" s="194"/>
      <c r="AN17" s="194"/>
      <c r="AO17" s="194"/>
      <c r="AP17" s="194"/>
      <c r="AQ17" s="194"/>
    </row>
    <row r="18" spans="1:43" s="1950" customFormat="1" ht="17.25" hidden="1" customHeight="1">
      <c r="A18" s="246"/>
      <c r="C18" s="131"/>
      <c r="D18" s="2041">
        <v>2</v>
      </c>
      <c r="E18" s="2043" t="s">
        <v>163</v>
      </c>
      <c r="F18" s="2045" t="s">
        <v>56</v>
      </c>
      <c r="G18" s="2048"/>
      <c r="H18" s="2050"/>
      <c r="I18" s="2052"/>
      <c r="J18" s="2054"/>
      <c r="K18" s="2039"/>
      <c r="L18" s="2039"/>
      <c r="M18" s="2039"/>
      <c r="N18" s="2057"/>
      <c r="O18" s="2039"/>
      <c r="P18" s="2039"/>
      <c r="Q18" s="2039"/>
      <c r="R18" s="2060"/>
      <c r="S18" s="2039"/>
      <c r="T18" s="1289"/>
      <c r="U18" s="1289"/>
      <c r="V18" s="1288"/>
      <c r="W18" s="1181"/>
      <c r="X18" s="1149"/>
      <c r="Y18" s="1149"/>
      <c r="Z18" s="1149"/>
      <c r="AA18" s="1149"/>
      <c r="AB18" s="1149"/>
      <c r="AC18" s="1228" t="s">
        <v>164</v>
      </c>
      <c r="AD18" s="1228" t="s">
        <v>165</v>
      </c>
      <c r="AE18" s="1228" t="s">
        <v>166</v>
      </c>
      <c r="AF18" s="1228" t="s">
        <v>167</v>
      </c>
      <c r="AG18" s="1228" t="s">
        <v>168</v>
      </c>
      <c r="AH18" s="1228" t="str">
        <f>IF($E$18=0,"",$E$18)</f>
        <v>Тарифы на тепловую энергию (мощность), поставляемую теплоснабжающими организациями потребителям, другим теплоснабжающим организациям</v>
      </c>
      <c r="AI18" s="1228" t="str">
        <f>IF($G$18=0,"",$G$18)</f>
        <v/>
      </c>
      <c r="AJ18" s="1228" t="str">
        <f>IF($J$18=0,"",$J$18)</f>
        <v/>
      </c>
      <c r="AK18" s="1228" t="str">
        <f>IF($K$18="нет","без дифференциации",IF($N$18=0,"",$N$18))</f>
        <v/>
      </c>
      <c r="AL18" s="1228" t="str">
        <f>IF($O$18="нет","без дифференциации",IF($R$18=0,"",$R$18))</f>
        <v/>
      </c>
      <c r="AM18" s="1228" t="str">
        <f>IF($S$18="нет","без дифференциации",IF($V$18=0,"",$V$18))</f>
        <v/>
      </c>
      <c r="AN18" s="1381">
        <f>$I$18</f>
        <v>0</v>
      </c>
      <c r="AO18" s="1228" t="str">
        <f>$I$18&amp;"."&amp;$M$18</f>
        <v>.</v>
      </c>
      <c r="AP18" s="194" t="str">
        <f>$I$18&amp;"."&amp;$M$18&amp;"."&amp;$Q$18</f>
        <v>..</v>
      </c>
      <c r="AQ18" s="194" t="str">
        <f>$I$18&amp;"."&amp;$M$18&amp;"."&amp;$Q$18&amp;"."&amp;$U$18</f>
        <v>...</v>
      </c>
    </row>
    <row r="19" spans="1:43" s="1950" customFormat="1" ht="17.25" hidden="1" customHeight="1">
      <c r="A19" s="246"/>
      <c r="C19" s="245"/>
      <c r="D19" s="2041"/>
      <c r="E19" s="2043"/>
      <c r="F19" s="2046"/>
      <c r="G19" s="2048"/>
      <c r="H19" s="2051"/>
      <c r="I19" s="2053"/>
      <c r="J19" s="2055"/>
      <c r="K19" s="2040"/>
      <c r="L19" s="2040"/>
      <c r="M19" s="2040"/>
      <c r="N19" s="2058"/>
      <c r="O19" s="2040"/>
      <c r="P19" s="2040"/>
      <c r="Q19" s="2040"/>
      <c r="R19" s="2059"/>
      <c r="S19" s="2040"/>
      <c r="T19" s="1182"/>
      <c r="U19" s="1182"/>
      <c r="V19" s="1182"/>
      <c r="W19" s="1183"/>
      <c r="X19" s="1142"/>
      <c r="Y19" s="1142"/>
      <c r="Z19" s="1142"/>
      <c r="AA19" s="1142"/>
      <c r="AB19" s="1142"/>
      <c r="AC19" s="194"/>
      <c r="AD19" s="194"/>
      <c r="AE19" s="194"/>
      <c r="AF19" s="194"/>
      <c r="AG19" s="194"/>
      <c r="AH19" s="194"/>
      <c r="AI19" s="194"/>
      <c r="AJ19" s="194"/>
      <c r="AK19" s="194"/>
      <c r="AL19" s="194"/>
      <c r="AM19" s="194"/>
      <c r="AN19" s="194"/>
      <c r="AO19" s="194"/>
      <c r="AP19" s="194"/>
      <c r="AQ19" s="194"/>
    </row>
    <row r="20" spans="1:43" s="1950" customFormat="1" ht="17.25" hidden="1" customHeight="1">
      <c r="A20" s="246"/>
      <c r="C20" s="245"/>
      <c r="D20" s="2042"/>
      <c r="E20" s="2044"/>
      <c r="F20" s="2046"/>
      <c r="G20" s="2049"/>
      <c r="H20" s="2051"/>
      <c r="I20" s="2053"/>
      <c r="J20" s="2056"/>
      <c r="K20" s="2040"/>
      <c r="L20" s="2040"/>
      <c r="M20" s="2040"/>
      <c r="N20" s="2059"/>
      <c r="O20" s="2040"/>
      <c r="P20" s="1287"/>
      <c r="Q20" s="1182"/>
      <c r="R20" s="1182"/>
      <c r="S20" s="255"/>
      <c r="T20" s="255"/>
      <c r="U20" s="255"/>
      <c r="V20" s="255"/>
      <c r="W20" s="1183"/>
      <c r="X20" s="1142"/>
      <c r="Y20" s="1142"/>
      <c r="Z20" s="1142"/>
      <c r="AA20" s="1142"/>
      <c r="AB20" s="1142"/>
      <c r="AC20" s="194"/>
      <c r="AD20" s="194"/>
      <c r="AE20" s="194"/>
      <c r="AF20" s="194"/>
      <c r="AG20" s="194"/>
      <c r="AH20" s="194"/>
      <c r="AI20" s="194"/>
      <c r="AJ20" s="194"/>
      <c r="AK20" s="194"/>
      <c r="AL20" s="194"/>
      <c r="AM20" s="194"/>
      <c r="AN20" s="194"/>
      <c r="AO20" s="194"/>
      <c r="AP20" s="194"/>
      <c r="AQ20" s="194"/>
    </row>
    <row r="21" spans="1:43" s="1950" customFormat="1" ht="17.25" hidden="1" customHeight="1">
      <c r="A21" s="246"/>
      <c r="C21" s="245"/>
      <c r="D21" s="2042"/>
      <c r="E21" s="2044"/>
      <c r="F21" s="2046"/>
      <c r="G21" s="2049"/>
      <c r="H21" s="2051"/>
      <c r="I21" s="2053"/>
      <c r="J21" s="2056"/>
      <c r="K21" s="2040"/>
      <c r="L21" s="1182"/>
      <c r="M21" s="1182"/>
      <c r="N21" s="1182"/>
      <c r="O21" s="1182"/>
      <c r="P21" s="1182"/>
      <c r="Q21" s="1182"/>
      <c r="R21" s="1182"/>
      <c r="S21" s="255"/>
      <c r="T21" s="255"/>
      <c r="U21" s="255"/>
      <c r="V21" s="255"/>
      <c r="W21" s="1183"/>
      <c r="X21" s="1142"/>
      <c r="Y21" s="1142"/>
      <c r="Z21" s="1142"/>
      <c r="AA21" s="1142"/>
      <c r="AB21" s="1142"/>
      <c r="AC21" s="194"/>
      <c r="AD21" s="194"/>
      <c r="AE21" s="194"/>
      <c r="AF21" s="194"/>
      <c r="AG21" s="194"/>
      <c r="AH21" s="194"/>
      <c r="AI21" s="194"/>
      <c r="AJ21" s="194"/>
      <c r="AK21" s="194"/>
      <c r="AL21" s="194"/>
      <c r="AM21" s="194"/>
      <c r="AN21" s="194"/>
      <c r="AO21" s="194"/>
      <c r="AP21" s="194"/>
      <c r="AQ21" s="194"/>
    </row>
    <row r="22" spans="1:43" s="1950" customFormat="1" ht="17.25" hidden="1" customHeight="1">
      <c r="A22" s="246"/>
      <c r="C22" s="245"/>
      <c r="D22" s="2042"/>
      <c r="E22" s="2044"/>
      <c r="F22" s="2047"/>
      <c r="G22" s="2049"/>
      <c r="H22" s="1185"/>
      <c r="I22" s="1186"/>
      <c r="J22" s="1186"/>
      <c r="K22" s="1186"/>
      <c r="L22" s="1186"/>
      <c r="M22" s="1186"/>
      <c r="N22" s="1186"/>
      <c r="O22" s="1186"/>
      <c r="P22" s="1186"/>
      <c r="Q22" s="1186"/>
      <c r="R22" s="1186"/>
      <c r="S22" s="1187"/>
      <c r="T22" s="1187"/>
      <c r="U22" s="1187"/>
      <c r="V22" s="1187"/>
      <c r="W22" s="1188"/>
      <c r="X22" s="1142"/>
      <c r="Y22" s="1142"/>
      <c r="Z22" s="1142"/>
      <c r="AA22" s="1142"/>
      <c r="AB22" s="1142"/>
      <c r="AC22" s="194"/>
      <c r="AD22" s="194"/>
      <c r="AE22" s="194"/>
      <c r="AF22" s="194"/>
      <c r="AG22" s="194"/>
      <c r="AH22" s="194"/>
      <c r="AI22" s="194"/>
      <c r="AJ22" s="194"/>
      <c r="AK22" s="194"/>
      <c r="AL22" s="194"/>
      <c r="AM22" s="194"/>
      <c r="AN22" s="194"/>
      <c r="AO22" s="194"/>
      <c r="AP22" s="194"/>
      <c r="AQ22" s="194"/>
    </row>
    <row r="23" spans="1:43" s="1950" customFormat="1" ht="17.25" hidden="1" customHeight="1">
      <c r="A23" s="246"/>
      <c r="C23" s="131"/>
      <c r="D23" s="2041">
        <v>3</v>
      </c>
      <c r="E23" s="2043" t="s">
        <v>169</v>
      </c>
      <c r="F23" s="2045" t="s">
        <v>56</v>
      </c>
      <c r="G23" s="2048"/>
      <c r="H23" s="2050"/>
      <c r="I23" s="2052"/>
      <c r="J23" s="2054"/>
      <c r="K23" s="2039"/>
      <c r="L23" s="2039"/>
      <c r="M23" s="2039"/>
      <c r="N23" s="2057"/>
      <c r="O23" s="2039"/>
      <c r="P23" s="2039"/>
      <c r="Q23" s="2039"/>
      <c r="R23" s="2060"/>
      <c r="S23" s="2039"/>
      <c r="T23" s="1289"/>
      <c r="U23" s="1289"/>
      <c r="V23" s="1288"/>
      <c r="W23" s="1181"/>
      <c r="X23" s="1149"/>
      <c r="Y23" s="1149"/>
      <c r="Z23" s="1149"/>
      <c r="AA23" s="1149"/>
      <c r="AB23" s="1149"/>
      <c r="AC23" s="1228" t="s">
        <v>170</v>
      </c>
      <c r="AD23" s="1228" t="s">
        <v>171</v>
      </c>
      <c r="AE23" s="1228" t="s">
        <v>172</v>
      </c>
      <c r="AF23" s="1228" t="s">
        <v>173</v>
      </c>
      <c r="AG23" s="1228" t="s">
        <v>174</v>
      </c>
      <c r="AH23" s="1228" t="str">
        <f>IF($E$23=0,"",$E$23)</f>
        <v>Тарифы на теплоноситель, поставляемый теплоснабжающими организациями потребителям, другим теплоснабжающим организациям</v>
      </c>
      <c r="AI23" s="1228" t="str">
        <f>IF($G$23=0,"",$G$23)</f>
        <v/>
      </c>
      <c r="AJ23" s="1228" t="str">
        <f>IF($J$23=0,"",$J$23)</f>
        <v/>
      </c>
      <c r="AK23" s="1228" t="str">
        <f>IF($K$23="нет","без дифференциации",IF($N$23=0,"",$N$23))</f>
        <v/>
      </c>
      <c r="AL23" s="1228" t="str">
        <f>IF($O$23="нет","без дифференциации",IF($R$23=0,"",$R$23))</f>
        <v/>
      </c>
      <c r="AM23" s="1228" t="str">
        <f>IF($S$23="нет","без дифференциации",IF($V$23=0,"",$V$23))</f>
        <v/>
      </c>
      <c r="AN23" s="1381">
        <f>$I$23</f>
        <v>0</v>
      </c>
      <c r="AO23" s="1228" t="str">
        <f>$I$23&amp;"."&amp;$M$23</f>
        <v>.</v>
      </c>
      <c r="AP23" s="194" t="str">
        <f>$I$23&amp;"."&amp;$M$23&amp;"."&amp;$Q$23</f>
        <v>..</v>
      </c>
      <c r="AQ23" s="194" t="str">
        <f>$I$23&amp;"."&amp;$M$23&amp;"."&amp;$Q$23&amp;"."&amp;$U$23</f>
        <v>...</v>
      </c>
    </row>
    <row r="24" spans="1:43" s="1950" customFormat="1" ht="17.25" hidden="1" customHeight="1">
      <c r="A24" s="246"/>
      <c r="C24" s="245"/>
      <c r="D24" s="2041"/>
      <c r="E24" s="2043"/>
      <c r="F24" s="2046"/>
      <c r="G24" s="2048"/>
      <c r="H24" s="2051"/>
      <c r="I24" s="2053"/>
      <c r="J24" s="2055"/>
      <c r="K24" s="2040"/>
      <c r="L24" s="2040"/>
      <c r="M24" s="2040"/>
      <c r="N24" s="2058"/>
      <c r="O24" s="2040"/>
      <c r="P24" s="2040"/>
      <c r="Q24" s="2040"/>
      <c r="R24" s="2059"/>
      <c r="S24" s="2040"/>
      <c r="T24" s="1182"/>
      <c r="U24" s="1182"/>
      <c r="V24" s="1182"/>
      <c r="W24" s="1183"/>
      <c r="X24" s="1142"/>
      <c r="Y24" s="1142"/>
      <c r="Z24" s="1142"/>
      <c r="AA24" s="1142"/>
      <c r="AB24" s="1142"/>
      <c r="AC24" s="194"/>
      <c r="AD24" s="194"/>
      <c r="AE24" s="194"/>
      <c r="AF24" s="194"/>
      <c r="AG24" s="194"/>
      <c r="AH24" s="194"/>
      <c r="AI24" s="194"/>
      <c r="AJ24" s="194"/>
      <c r="AK24" s="194"/>
      <c r="AL24" s="194"/>
      <c r="AM24" s="194"/>
      <c r="AN24" s="194"/>
      <c r="AO24" s="194"/>
      <c r="AP24" s="194"/>
      <c r="AQ24" s="194"/>
    </row>
    <row r="25" spans="1:43" s="1950" customFormat="1" ht="17.25" hidden="1" customHeight="1">
      <c r="A25" s="246"/>
      <c r="C25" s="245"/>
      <c r="D25" s="2042"/>
      <c r="E25" s="2044"/>
      <c r="F25" s="2046"/>
      <c r="G25" s="2049"/>
      <c r="H25" s="2051"/>
      <c r="I25" s="2053"/>
      <c r="J25" s="2056"/>
      <c r="K25" s="2040"/>
      <c r="L25" s="2040"/>
      <c r="M25" s="2040"/>
      <c r="N25" s="2059"/>
      <c r="O25" s="2040"/>
      <c r="P25" s="1287"/>
      <c r="Q25" s="1182"/>
      <c r="R25" s="1182"/>
      <c r="S25" s="255"/>
      <c r="T25" s="255"/>
      <c r="U25" s="255"/>
      <c r="V25" s="255"/>
      <c r="W25" s="1183"/>
      <c r="X25" s="1142"/>
      <c r="Y25" s="1142"/>
      <c r="Z25" s="1142"/>
      <c r="AA25" s="1142"/>
      <c r="AB25" s="1142"/>
      <c r="AC25" s="194"/>
      <c r="AD25" s="194"/>
      <c r="AE25" s="194"/>
      <c r="AF25" s="194"/>
      <c r="AG25" s="194"/>
      <c r="AH25" s="194"/>
      <c r="AI25" s="194"/>
      <c r="AJ25" s="194"/>
      <c r="AK25" s="194"/>
      <c r="AL25" s="194"/>
      <c r="AM25" s="194"/>
      <c r="AN25" s="194"/>
      <c r="AO25" s="194"/>
      <c r="AP25" s="194"/>
      <c r="AQ25" s="194"/>
    </row>
    <row r="26" spans="1:43" s="1950" customFormat="1" ht="17.25" hidden="1" customHeight="1">
      <c r="A26" s="246"/>
      <c r="C26" s="245"/>
      <c r="D26" s="2042"/>
      <c r="E26" s="2044"/>
      <c r="F26" s="2046"/>
      <c r="G26" s="2049"/>
      <c r="H26" s="2051"/>
      <c r="I26" s="2053"/>
      <c r="J26" s="2056"/>
      <c r="K26" s="2040"/>
      <c r="L26" s="1182"/>
      <c r="M26" s="1182"/>
      <c r="N26" s="1182"/>
      <c r="O26" s="1182"/>
      <c r="P26" s="1182"/>
      <c r="Q26" s="1182"/>
      <c r="R26" s="1182"/>
      <c r="S26" s="255"/>
      <c r="T26" s="255"/>
      <c r="U26" s="255"/>
      <c r="V26" s="255"/>
      <c r="W26" s="1183"/>
      <c r="X26" s="1142"/>
      <c r="Y26" s="1142"/>
      <c r="Z26" s="1142"/>
      <c r="AA26" s="1142"/>
      <c r="AB26" s="1142"/>
      <c r="AC26" s="194"/>
      <c r="AD26" s="194"/>
      <c r="AE26" s="194"/>
      <c r="AF26" s="194"/>
      <c r="AG26" s="194"/>
      <c r="AH26" s="194"/>
      <c r="AI26" s="194"/>
      <c r="AJ26" s="194"/>
      <c r="AK26" s="194"/>
      <c r="AL26" s="194"/>
      <c r="AM26" s="194"/>
      <c r="AN26" s="194"/>
      <c r="AO26" s="194"/>
      <c r="AP26" s="194"/>
      <c r="AQ26" s="194"/>
    </row>
    <row r="27" spans="1:43" s="1950" customFormat="1" ht="17.25" hidden="1" customHeight="1">
      <c r="A27" s="246"/>
      <c r="C27" s="245"/>
      <c r="D27" s="2042"/>
      <c r="E27" s="2044"/>
      <c r="F27" s="2047"/>
      <c r="G27" s="2049"/>
      <c r="H27" s="1185"/>
      <c r="I27" s="1186"/>
      <c r="J27" s="1186"/>
      <c r="K27" s="1186"/>
      <c r="L27" s="1186"/>
      <c r="M27" s="1186"/>
      <c r="N27" s="1186"/>
      <c r="O27" s="1186"/>
      <c r="P27" s="1186"/>
      <c r="Q27" s="1186"/>
      <c r="R27" s="1186"/>
      <c r="S27" s="1187"/>
      <c r="T27" s="1187"/>
      <c r="U27" s="1187"/>
      <c r="V27" s="1187"/>
      <c r="W27" s="1188"/>
      <c r="X27" s="1142"/>
      <c r="Y27" s="1142"/>
      <c r="Z27" s="1142"/>
      <c r="AA27" s="1142"/>
      <c r="AB27" s="1142"/>
      <c r="AC27" s="194"/>
      <c r="AD27" s="194"/>
      <c r="AE27" s="194"/>
      <c r="AF27" s="194"/>
      <c r="AG27" s="194"/>
      <c r="AH27" s="194"/>
      <c r="AI27" s="194"/>
      <c r="AJ27" s="194"/>
      <c r="AK27" s="194"/>
      <c r="AL27" s="194"/>
      <c r="AM27" s="194"/>
      <c r="AN27" s="194"/>
      <c r="AO27" s="194"/>
      <c r="AP27" s="194"/>
      <c r="AQ27" s="194"/>
    </row>
    <row r="28" spans="1:43" s="1950" customFormat="1" ht="17.25" hidden="1" customHeight="1">
      <c r="A28" s="246"/>
      <c r="C28" s="131"/>
      <c r="D28" s="2041">
        <v>4</v>
      </c>
      <c r="E28" s="2043" t="s">
        <v>175</v>
      </c>
      <c r="F28" s="2045" t="s">
        <v>56</v>
      </c>
      <c r="G28" s="2048"/>
      <c r="H28" s="2050"/>
      <c r="I28" s="2052"/>
      <c r="J28" s="2054"/>
      <c r="K28" s="2039"/>
      <c r="L28" s="2039"/>
      <c r="M28" s="2039"/>
      <c r="N28" s="2057"/>
      <c r="O28" s="2039"/>
      <c r="P28" s="2039"/>
      <c r="Q28" s="2039"/>
      <c r="R28" s="2060"/>
      <c r="S28" s="2039"/>
      <c r="T28" s="1289"/>
      <c r="U28" s="1289"/>
      <c r="V28" s="1288"/>
      <c r="W28" s="1181"/>
      <c r="X28" s="1149"/>
      <c r="Y28" s="1149"/>
      <c r="Z28" s="1149"/>
      <c r="AA28" s="1149"/>
      <c r="AB28" s="1149"/>
      <c r="AC28" s="1228" t="s">
        <v>176</v>
      </c>
      <c r="AD28" s="1228" t="s">
        <v>177</v>
      </c>
      <c r="AE28" s="1228" t="s">
        <v>178</v>
      </c>
      <c r="AF28" s="1228" t="s">
        <v>179</v>
      </c>
      <c r="AG28" s="1228" t="s">
        <v>180</v>
      </c>
      <c r="AH28" s="1228"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228" t="str">
        <f>IF($G$28=0,"",$G$28)</f>
        <v/>
      </c>
      <c r="AJ28" s="1228" t="str">
        <f>IF($J$28=0,"",$J$28)</f>
        <v/>
      </c>
      <c r="AK28" s="1228" t="str">
        <f>IF($K$28="нет","без дифференциации",IF($N$28=0,"",$N$28))</f>
        <v/>
      </c>
      <c r="AL28" s="1228" t="str">
        <f>IF($O$28="нет","без дифференциации",IF($R$28=0,"",$R$28))</f>
        <v/>
      </c>
      <c r="AM28" s="1228" t="str">
        <f>IF($S$28="нет","без дифференциации",IF($V$28=0,"",$V$28))</f>
        <v/>
      </c>
      <c r="AN28" s="1381">
        <f>$I$28</f>
        <v>0</v>
      </c>
      <c r="AO28" s="1228" t="str">
        <f>$I$28&amp;"."&amp;$M$28</f>
        <v>.</v>
      </c>
      <c r="AP28" s="194" t="str">
        <f>$I$28&amp;"."&amp;$M$28&amp;"."&amp;$Q$28</f>
        <v>..</v>
      </c>
      <c r="AQ28" s="194" t="str">
        <f>$I$28&amp;"."&amp;$M$28&amp;"."&amp;$Q$28&amp;"."&amp;$U$28</f>
        <v>...</v>
      </c>
    </row>
    <row r="29" spans="1:43" s="1950" customFormat="1" ht="17.25" hidden="1" customHeight="1">
      <c r="A29" s="246"/>
      <c r="C29" s="245"/>
      <c r="D29" s="2041"/>
      <c r="E29" s="2043"/>
      <c r="F29" s="2046"/>
      <c r="G29" s="2048"/>
      <c r="H29" s="2051"/>
      <c r="I29" s="2053"/>
      <c r="J29" s="2055"/>
      <c r="K29" s="2040"/>
      <c r="L29" s="2040"/>
      <c r="M29" s="2040"/>
      <c r="N29" s="2058"/>
      <c r="O29" s="2040"/>
      <c r="P29" s="2040"/>
      <c r="Q29" s="2040"/>
      <c r="R29" s="2059"/>
      <c r="S29" s="2040"/>
      <c r="T29" s="1182"/>
      <c r="U29" s="1182"/>
      <c r="V29" s="1182"/>
      <c r="W29" s="1183"/>
      <c r="X29" s="1142"/>
      <c r="Y29" s="1142"/>
      <c r="Z29" s="1142"/>
      <c r="AA29" s="1142"/>
      <c r="AB29" s="1142"/>
      <c r="AC29" s="194"/>
      <c r="AD29" s="194"/>
      <c r="AE29" s="194"/>
      <c r="AF29" s="194"/>
      <c r="AG29" s="194"/>
      <c r="AH29" s="194"/>
      <c r="AI29" s="194"/>
      <c r="AJ29" s="194"/>
      <c r="AK29" s="194"/>
      <c r="AL29" s="194"/>
      <c r="AM29" s="194"/>
      <c r="AN29" s="194"/>
      <c r="AO29" s="194"/>
      <c r="AP29" s="194"/>
      <c r="AQ29" s="194"/>
    </row>
    <row r="30" spans="1:43" s="1950" customFormat="1" ht="17.25" hidden="1" customHeight="1">
      <c r="A30" s="246"/>
      <c r="C30" s="245"/>
      <c r="D30" s="2042"/>
      <c r="E30" s="2044"/>
      <c r="F30" s="2046"/>
      <c r="G30" s="2049"/>
      <c r="H30" s="2051"/>
      <c r="I30" s="2053"/>
      <c r="J30" s="2056"/>
      <c r="K30" s="2040"/>
      <c r="L30" s="2040"/>
      <c r="M30" s="2040"/>
      <c r="N30" s="2059"/>
      <c r="O30" s="2040"/>
      <c r="P30" s="1287"/>
      <c r="Q30" s="1182"/>
      <c r="R30" s="1182"/>
      <c r="S30" s="255"/>
      <c r="T30" s="255"/>
      <c r="U30" s="255"/>
      <c r="V30" s="255"/>
      <c r="W30" s="1183"/>
      <c r="X30" s="1142"/>
      <c r="Y30" s="1142"/>
      <c r="Z30" s="1142"/>
      <c r="AA30" s="1142"/>
      <c r="AB30" s="1142"/>
      <c r="AC30" s="194"/>
      <c r="AD30" s="194"/>
      <c r="AE30" s="194"/>
      <c r="AF30" s="194"/>
      <c r="AG30" s="194"/>
      <c r="AH30" s="194"/>
      <c r="AI30" s="194"/>
      <c r="AJ30" s="194"/>
      <c r="AK30" s="194"/>
      <c r="AL30" s="194"/>
      <c r="AM30" s="194"/>
      <c r="AN30" s="194"/>
      <c r="AO30" s="194"/>
      <c r="AP30" s="194"/>
      <c r="AQ30" s="194"/>
    </row>
    <row r="31" spans="1:43" s="1950" customFormat="1" ht="17.25" hidden="1" customHeight="1">
      <c r="A31" s="246"/>
      <c r="C31" s="245"/>
      <c r="D31" s="2042"/>
      <c r="E31" s="2044"/>
      <c r="F31" s="2046"/>
      <c r="G31" s="2049"/>
      <c r="H31" s="2051"/>
      <c r="I31" s="2053"/>
      <c r="J31" s="2056"/>
      <c r="K31" s="2040"/>
      <c r="L31" s="1182"/>
      <c r="M31" s="1182"/>
      <c r="N31" s="1182"/>
      <c r="O31" s="1182"/>
      <c r="P31" s="1182"/>
      <c r="Q31" s="1182"/>
      <c r="R31" s="1182"/>
      <c r="S31" s="255"/>
      <c r="T31" s="255"/>
      <c r="U31" s="255"/>
      <c r="V31" s="255"/>
      <c r="W31" s="1183"/>
      <c r="X31" s="1142"/>
      <c r="Y31" s="1142"/>
      <c r="Z31" s="1142"/>
      <c r="AA31" s="1142"/>
      <c r="AB31" s="1142"/>
      <c r="AC31" s="194"/>
      <c r="AD31" s="194"/>
      <c r="AE31" s="194"/>
      <c r="AF31" s="194"/>
      <c r="AG31" s="194"/>
      <c r="AH31" s="194"/>
      <c r="AI31" s="194"/>
      <c r="AJ31" s="194"/>
      <c r="AK31" s="194"/>
      <c r="AL31" s="194"/>
      <c r="AM31" s="194"/>
      <c r="AN31" s="194"/>
      <c r="AO31" s="194"/>
      <c r="AP31" s="194"/>
      <c r="AQ31" s="194"/>
    </row>
    <row r="32" spans="1:43" s="1950" customFormat="1" ht="17.25" hidden="1" customHeight="1">
      <c r="A32" s="246"/>
      <c r="C32" s="245"/>
      <c r="D32" s="2042"/>
      <c r="E32" s="2044"/>
      <c r="F32" s="2047"/>
      <c r="G32" s="2049"/>
      <c r="H32" s="1185"/>
      <c r="I32" s="1186"/>
      <c r="J32" s="1186"/>
      <c r="K32" s="1186"/>
      <c r="L32" s="1186"/>
      <c r="M32" s="1186"/>
      <c r="N32" s="1186"/>
      <c r="O32" s="1186"/>
      <c r="P32" s="1186"/>
      <c r="Q32" s="1186"/>
      <c r="R32" s="1186"/>
      <c r="S32" s="1187"/>
      <c r="T32" s="1187"/>
      <c r="U32" s="1187"/>
      <c r="V32" s="1187"/>
      <c r="W32" s="1188"/>
      <c r="X32" s="1142"/>
      <c r="Y32" s="1142"/>
      <c r="Z32" s="1142"/>
      <c r="AA32" s="1142"/>
      <c r="AB32" s="1142"/>
      <c r="AC32" s="194"/>
      <c r="AD32" s="194"/>
      <c r="AE32" s="194"/>
      <c r="AF32" s="194"/>
      <c r="AG32" s="194"/>
      <c r="AH32" s="194"/>
      <c r="AI32" s="194"/>
      <c r="AJ32" s="194"/>
      <c r="AK32" s="194"/>
      <c r="AL32" s="194"/>
      <c r="AM32" s="194"/>
      <c r="AN32" s="194"/>
      <c r="AO32" s="194"/>
      <c r="AP32" s="194"/>
      <c r="AQ32" s="194"/>
    </row>
    <row r="33" spans="1:43" s="1950" customFormat="1" ht="17.25" hidden="1" customHeight="1">
      <c r="A33" s="246"/>
      <c r="C33" s="131"/>
      <c r="D33" s="2041">
        <v>5</v>
      </c>
      <c r="E33" s="2043" t="s">
        <v>181</v>
      </c>
      <c r="F33" s="2045" t="s">
        <v>56</v>
      </c>
      <c r="G33" s="2048"/>
      <c r="H33" s="2050"/>
      <c r="I33" s="2052"/>
      <c r="J33" s="2054"/>
      <c r="K33" s="2039"/>
      <c r="L33" s="2039"/>
      <c r="M33" s="2039"/>
      <c r="N33" s="2057"/>
      <c r="O33" s="2039"/>
      <c r="P33" s="2039"/>
      <c r="Q33" s="2039"/>
      <c r="R33" s="2060"/>
      <c r="S33" s="2039"/>
      <c r="T33" s="1289"/>
      <c r="U33" s="1289"/>
      <c r="V33" s="1288"/>
      <c r="W33" s="1181"/>
      <c r="X33" s="1149"/>
      <c r="Y33" s="1149"/>
      <c r="Z33" s="1149"/>
      <c r="AA33" s="1149"/>
      <c r="AB33" s="1149"/>
      <c r="AC33" s="1228" t="s">
        <v>182</v>
      </c>
      <c r="AD33" s="1228" t="s">
        <v>183</v>
      </c>
      <c r="AE33" s="1228" t="s">
        <v>184</v>
      </c>
      <c r="AF33" s="1228" t="s">
        <v>185</v>
      </c>
      <c r="AG33" s="1228" t="s">
        <v>186</v>
      </c>
      <c r="AH33" s="1228" t="str">
        <f>IF($E$33=0,"",$E$33)</f>
        <v>Тарифы на услуги по передаче тепловой энергии</v>
      </c>
      <c r="AI33" s="1228" t="str">
        <f>IF($G$33=0,"",$G$33)</f>
        <v/>
      </c>
      <c r="AJ33" s="1228" t="str">
        <f>IF($J$33=0,"",$J$33)</f>
        <v/>
      </c>
      <c r="AK33" s="1228" t="str">
        <f>IF($K$33="нет","без дифференциации",IF($N$33=0,"",$N$33))</f>
        <v/>
      </c>
      <c r="AL33" s="1228" t="str">
        <f>IF($O$33="нет","без дифференциации",IF($R$33=0,"",$R$33))</f>
        <v/>
      </c>
      <c r="AM33" s="1228" t="str">
        <f>IF($S$33="нет","без дифференциации",IF($V$33=0,"",$V$33))</f>
        <v/>
      </c>
      <c r="AN33" s="1381">
        <f>$I$33</f>
        <v>0</v>
      </c>
      <c r="AO33" s="1228" t="str">
        <f>$I$33&amp;"."&amp;$M$33</f>
        <v>.</v>
      </c>
      <c r="AP33" s="194" t="str">
        <f>$I$33&amp;"."&amp;$M$33&amp;"."&amp;$Q$33</f>
        <v>..</v>
      </c>
      <c r="AQ33" s="194" t="str">
        <f>$I$33&amp;"."&amp;$M$33&amp;"."&amp;$Q$33&amp;"."&amp;$U$33</f>
        <v>...</v>
      </c>
    </row>
    <row r="34" spans="1:43" s="1950" customFormat="1" ht="17.25" hidden="1" customHeight="1">
      <c r="A34" s="246"/>
      <c r="C34" s="245"/>
      <c r="D34" s="2041"/>
      <c r="E34" s="2043"/>
      <c r="F34" s="2046"/>
      <c r="G34" s="2048"/>
      <c r="H34" s="2051"/>
      <c r="I34" s="2053"/>
      <c r="J34" s="2055"/>
      <c r="K34" s="2040"/>
      <c r="L34" s="2040"/>
      <c r="M34" s="2040"/>
      <c r="N34" s="2058"/>
      <c r="O34" s="2040"/>
      <c r="P34" s="2040"/>
      <c r="Q34" s="2040"/>
      <c r="R34" s="2059"/>
      <c r="S34" s="2040"/>
      <c r="T34" s="1182"/>
      <c r="U34" s="1182"/>
      <c r="V34" s="1182"/>
      <c r="W34" s="1183"/>
      <c r="X34" s="1142"/>
      <c r="Y34" s="1142"/>
      <c r="Z34" s="1142"/>
      <c r="AA34" s="1142"/>
      <c r="AB34" s="1142"/>
      <c r="AC34" s="194"/>
      <c r="AD34" s="194"/>
      <c r="AE34" s="194"/>
      <c r="AF34" s="194"/>
      <c r="AG34" s="194"/>
      <c r="AH34" s="194"/>
      <c r="AI34" s="194"/>
      <c r="AJ34" s="194"/>
      <c r="AK34" s="194"/>
      <c r="AL34" s="194"/>
      <c r="AM34" s="194"/>
      <c r="AN34" s="194"/>
      <c r="AO34" s="194"/>
      <c r="AP34" s="194"/>
      <c r="AQ34" s="194"/>
    </row>
    <row r="35" spans="1:43" s="1950" customFormat="1" ht="17.25" hidden="1" customHeight="1">
      <c r="A35" s="246"/>
      <c r="C35" s="245"/>
      <c r="D35" s="2042"/>
      <c r="E35" s="2044"/>
      <c r="F35" s="2046"/>
      <c r="G35" s="2049"/>
      <c r="H35" s="2051"/>
      <c r="I35" s="2053"/>
      <c r="J35" s="2056"/>
      <c r="K35" s="2040"/>
      <c r="L35" s="2040"/>
      <c r="M35" s="2040"/>
      <c r="N35" s="2059"/>
      <c r="O35" s="2040"/>
      <c r="P35" s="1287"/>
      <c r="Q35" s="1182"/>
      <c r="R35" s="1182"/>
      <c r="S35" s="255"/>
      <c r="T35" s="255"/>
      <c r="U35" s="255"/>
      <c r="V35" s="255"/>
      <c r="W35" s="1183"/>
      <c r="X35" s="1142"/>
      <c r="Y35" s="1142"/>
      <c r="Z35" s="1142"/>
      <c r="AA35" s="1142"/>
      <c r="AB35" s="1142"/>
      <c r="AC35" s="194"/>
      <c r="AD35" s="194"/>
      <c r="AE35" s="194"/>
      <c r="AF35" s="194"/>
      <c r="AG35" s="194"/>
      <c r="AH35" s="194"/>
      <c r="AI35" s="194"/>
      <c r="AJ35" s="194"/>
      <c r="AK35" s="194"/>
      <c r="AL35" s="194"/>
      <c r="AM35" s="194"/>
      <c r="AN35" s="194"/>
      <c r="AO35" s="194"/>
      <c r="AP35" s="194"/>
      <c r="AQ35" s="194"/>
    </row>
    <row r="36" spans="1:43" s="1950" customFormat="1" ht="17.25" hidden="1" customHeight="1">
      <c r="A36" s="246"/>
      <c r="C36" s="245"/>
      <c r="D36" s="2042"/>
      <c r="E36" s="2044"/>
      <c r="F36" s="2046"/>
      <c r="G36" s="2049"/>
      <c r="H36" s="2051"/>
      <c r="I36" s="2053"/>
      <c r="J36" s="2056"/>
      <c r="K36" s="2040"/>
      <c r="L36" s="1182"/>
      <c r="M36" s="1182"/>
      <c r="N36" s="1182"/>
      <c r="O36" s="1182"/>
      <c r="P36" s="1182"/>
      <c r="Q36" s="1182"/>
      <c r="R36" s="1182"/>
      <c r="S36" s="255"/>
      <c r="T36" s="255"/>
      <c r="U36" s="255"/>
      <c r="V36" s="255"/>
      <c r="W36" s="1183"/>
      <c r="X36" s="1142"/>
      <c r="Y36" s="1142"/>
      <c r="Z36" s="1142"/>
      <c r="AA36" s="1142"/>
      <c r="AB36" s="1142"/>
      <c r="AC36" s="194"/>
      <c r="AD36" s="194"/>
      <c r="AE36" s="194"/>
      <c r="AF36" s="194"/>
      <c r="AG36" s="194"/>
      <c r="AH36" s="194"/>
      <c r="AI36" s="194"/>
      <c r="AJ36" s="194"/>
      <c r="AK36" s="194"/>
      <c r="AL36" s="194"/>
      <c r="AM36" s="194"/>
      <c r="AN36" s="194"/>
      <c r="AO36" s="194"/>
      <c r="AP36" s="194"/>
      <c r="AQ36" s="194"/>
    </row>
    <row r="37" spans="1:43" s="1950" customFormat="1" ht="17.25" hidden="1" customHeight="1">
      <c r="A37" s="246"/>
      <c r="C37" s="245"/>
      <c r="D37" s="2042"/>
      <c r="E37" s="2044"/>
      <c r="F37" s="2047"/>
      <c r="G37" s="2049"/>
      <c r="H37" s="1185"/>
      <c r="I37" s="1186"/>
      <c r="J37" s="1186"/>
      <c r="K37" s="1186"/>
      <c r="L37" s="1186"/>
      <c r="M37" s="1186"/>
      <c r="N37" s="1186"/>
      <c r="O37" s="1186"/>
      <c r="P37" s="1186"/>
      <c r="Q37" s="1186"/>
      <c r="R37" s="1186"/>
      <c r="S37" s="1187"/>
      <c r="T37" s="1187"/>
      <c r="U37" s="1187"/>
      <c r="V37" s="1187"/>
      <c r="W37" s="1188"/>
      <c r="X37" s="1142"/>
      <c r="Y37" s="1142"/>
      <c r="Z37" s="1142"/>
      <c r="AA37" s="1142"/>
      <c r="AB37" s="1142"/>
      <c r="AC37" s="194"/>
      <c r="AD37" s="194"/>
      <c r="AE37" s="194"/>
      <c r="AF37" s="194"/>
      <c r="AG37" s="194"/>
      <c r="AH37" s="194"/>
      <c r="AI37" s="194"/>
      <c r="AJ37" s="194"/>
      <c r="AK37" s="194"/>
      <c r="AL37" s="194"/>
      <c r="AM37" s="194"/>
      <c r="AN37" s="194"/>
      <c r="AO37" s="194"/>
      <c r="AP37" s="194"/>
      <c r="AQ37" s="194"/>
    </row>
    <row r="38" spans="1:43" s="1950" customFormat="1" ht="17.25" hidden="1" customHeight="1">
      <c r="A38" s="246"/>
      <c r="C38" s="131"/>
      <c r="D38" s="2041">
        <v>6</v>
      </c>
      <c r="E38" s="2043" t="s">
        <v>187</v>
      </c>
      <c r="F38" s="2045" t="s">
        <v>56</v>
      </c>
      <c r="G38" s="2048"/>
      <c r="H38" s="2050"/>
      <c r="I38" s="2052"/>
      <c r="J38" s="2054"/>
      <c r="K38" s="2039"/>
      <c r="L38" s="2039"/>
      <c r="M38" s="2039"/>
      <c r="N38" s="2057"/>
      <c r="O38" s="2039"/>
      <c r="P38" s="2039"/>
      <c r="Q38" s="2039"/>
      <c r="R38" s="2060"/>
      <c r="S38" s="2039"/>
      <c r="T38" s="1289"/>
      <c r="U38" s="1289"/>
      <c r="V38" s="1288"/>
      <c r="W38" s="1181"/>
      <c r="X38" s="1149"/>
      <c r="Y38" s="1149"/>
      <c r="Z38" s="1149"/>
      <c r="AA38" s="1149"/>
      <c r="AB38" s="1149"/>
      <c r="AC38" s="1228" t="s">
        <v>188</v>
      </c>
      <c r="AD38" s="1228" t="s">
        <v>189</v>
      </c>
      <c r="AE38" s="1228" t="s">
        <v>190</v>
      </c>
      <c r="AF38" s="1228" t="s">
        <v>191</v>
      </c>
      <c r="AG38" s="1228" t="s">
        <v>192</v>
      </c>
      <c r="AH38" s="1228" t="str">
        <f>IF($E$38=0,"",$E$38)</f>
        <v>Тарифы на услуги по передаче теплоносителя</v>
      </c>
      <c r="AI38" s="1228" t="str">
        <f>IF($G$38=0,"",$G$38)</f>
        <v/>
      </c>
      <c r="AJ38" s="1228" t="str">
        <f>IF($J$38=0,"",$J$38)</f>
        <v/>
      </c>
      <c r="AK38" s="1228" t="str">
        <f>IF($K$38="нет","без дифференциации",IF($N$38=0,"",$N$38))</f>
        <v/>
      </c>
      <c r="AL38" s="1228" t="str">
        <f>IF($O$38="нет","без дифференциации",IF($R$38=0,"",$R$38))</f>
        <v/>
      </c>
      <c r="AM38" s="1228" t="str">
        <f>IF($S$38="нет","без дифференциации",IF($V$38=0,"",$V$38))</f>
        <v/>
      </c>
      <c r="AN38" s="1381">
        <f>$I$38</f>
        <v>0</v>
      </c>
      <c r="AO38" s="1228" t="str">
        <f>$I$38&amp;"."&amp;$M$38</f>
        <v>.</v>
      </c>
      <c r="AP38" s="194" t="str">
        <f>$I$38&amp;"."&amp;$M$38&amp;"."&amp;$Q$38</f>
        <v>..</v>
      </c>
      <c r="AQ38" s="194" t="str">
        <f>$I$38&amp;"."&amp;$M$38&amp;"."&amp;$Q$38&amp;"."&amp;$U$38</f>
        <v>...</v>
      </c>
    </row>
    <row r="39" spans="1:43" s="1950" customFormat="1" ht="17.25" hidden="1" customHeight="1">
      <c r="A39" s="246"/>
      <c r="C39" s="245"/>
      <c r="D39" s="2041"/>
      <c r="E39" s="2043"/>
      <c r="F39" s="2046"/>
      <c r="G39" s="2048"/>
      <c r="H39" s="2051"/>
      <c r="I39" s="2053"/>
      <c r="J39" s="2055"/>
      <c r="K39" s="2040"/>
      <c r="L39" s="2040"/>
      <c r="M39" s="2040"/>
      <c r="N39" s="2058"/>
      <c r="O39" s="2040"/>
      <c r="P39" s="2040"/>
      <c r="Q39" s="2040"/>
      <c r="R39" s="2059"/>
      <c r="S39" s="2040"/>
      <c r="T39" s="1182"/>
      <c r="U39" s="1182"/>
      <c r="V39" s="1182"/>
      <c r="W39" s="1183"/>
      <c r="X39" s="1142"/>
      <c r="Y39" s="1142"/>
      <c r="Z39" s="1142"/>
      <c r="AA39" s="1142"/>
      <c r="AB39" s="1142"/>
      <c r="AC39" s="194"/>
      <c r="AD39" s="194"/>
      <c r="AE39" s="194"/>
      <c r="AF39" s="194"/>
      <c r="AG39" s="194"/>
      <c r="AH39" s="194"/>
      <c r="AI39" s="194"/>
      <c r="AJ39" s="194"/>
      <c r="AK39" s="194"/>
      <c r="AL39" s="194"/>
      <c r="AM39" s="194"/>
      <c r="AN39" s="194"/>
      <c r="AO39" s="194"/>
      <c r="AP39" s="194"/>
      <c r="AQ39" s="194"/>
    </row>
    <row r="40" spans="1:43" s="1950" customFormat="1" ht="17.25" hidden="1" customHeight="1">
      <c r="A40" s="246"/>
      <c r="C40" s="245"/>
      <c r="D40" s="2042"/>
      <c r="E40" s="2044"/>
      <c r="F40" s="2046"/>
      <c r="G40" s="2049"/>
      <c r="H40" s="2051"/>
      <c r="I40" s="2053"/>
      <c r="J40" s="2056"/>
      <c r="K40" s="2040"/>
      <c r="L40" s="2040"/>
      <c r="M40" s="2040"/>
      <c r="N40" s="2059"/>
      <c r="O40" s="2040"/>
      <c r="P40" s="1287"/>
      <c r="Q40" s="1182"/>
      <c r="R40" s="1182"/>
      <c r="S40" s="255"/>
      <c r="T40" s="255"/>
      <c r="U40" s="255"/>
      <c r="V40" s="255"/>
      <c r="W40" s="1183"/>
      <c r="X40" s="1142"/>
      <c r="Y40" s="1142"/>
      <c r="Z40" s="1142"/>
      <c r="AA40" s="1142"/>
      <c r="AB40" s="1142"/>
      <c r="AC40" s="194"/>
      <c r="AD40" s="194"/>
      <c r="AE40" s="194"/>
      <c r="AF40" s="194"/>
      <c r="AG40" s="194"/>
      <c r="AH40" s="194"/>
      <c r="AI40" s="194"/>
      <c r="AJ40" s="194"/>
      <c r="AK40" s="194"/>
      <c r="AL40" s="194"/>
      <c r="AM40" s="194"/>
      <c r="AN40" s="194"/>
      <c r="AO40" s="194"/>
      <c r="AP40" s="194"/>
      <c r="AQ40" s="194"/>
    </row>
    <row r="41" spans="1:43" s="1950" customFormat="1" ht="17.25" hidden="1" customHeight="1">
      <c r="A41" s="246"/>
      <c r="C41" s="131"/>
      <c r="D41" s="2042"/>
      <c r="E41" s="2044"/>
      <c r="F41" s="2046"/>
      <c r="G41" s="2049"/>
      <c r="H41" s="2051"/>
      <c r="I41" s="2053"/>
      <c r="J41" s="2056"/>
      <c r="K41" s="2040"/>
      <c r="L41" s="1182"/>
      <c r="M41" s="1182"/>
      <c r="N41" s="1182"/>
      <c r="O41" s="1182"/>
      <c r="P41" s="1182"/>
      <c r="Q41" s="1182"/>
      <c r="R41" s="1182"/>
      <c r="S41" s="255"/>
      <c r="T41" s="255"/>
      <c r="U41" s="255"/>
      <c r="V41" s="255"/>
      <c r="W41" s="1183"/>
      <c r="Y41" s="1149"/>
      <c r="Z41" s="1149"/>
      <c r="AA41" s="1149"/>
      <c r="AB41" s="1149"/>
      <c r="AC41" s="1228" t="s">
        <v>188</v>
      </c>
      <c r="AD41" s="1228" t="s">
        <v>189</v>
      </c>
      <c r="AE41" s="1228" t="s">
        <v>193</v>
      </c>
      <c r="AF41" s="1228" t="s">
        <v>194</v>
      </c>
      <c r="AG41" s="1228" t="s">
        <v>195</v>
      </c>
      <c r="AH41" s="1228" t="str">
        <f>IF($E$38=0,"",$E$38)</f>
        <v>Тарифы на услуги по передаче теплоносителя</v>
      </c>
      <c r="AI41" s="1228" t="str">
        <f>IF($G$38=0,"",$G$38)</f>
        <v/>
      </c>
      <c r="AJ41" s="1228" t="str">
        <f>IF($J$38=0,"",$J$38)</f>
        <v/>
      </c>
      <c r="AK41" s="1228" t="str">
        <f>IF($K$41="нет","без дифференциации",IF($N$41=0,"",$N$41))</f>
        <v/>
      </c>
      <c r="AL41" s="1228" t="str">
        <f>IF($O$41="нет","без дифференциации",IF($R$41=0,"",$R$41))</f>
        <v/>
      </c>
      <c r="AM41" s="1228" t="str">
        <f>IF($S$41="нет","без дифференциации",IF($V$41=0,"",$V$41))</f>
        <v/>
      </c>
      <c r="AN41" s="1228">
        <f>$I$38</f>
        <v>0</v>
      </c>
      <c r="AO41" s="1228" t="str">
        <f>$I$38&amp;"."&amp;$M$41</f>
        <v>.</v>
      </c>
      <c r="AP41" s="1228" t="str">
        <f>$I$38&amp;"."&amp;$M$41&amp;"."&amp;$Q$41</f>
        <v>..</v>
      </c>
      <c r="AQ41" s="1228" t="str">
        <f>$I$38&amp;"."&amp;$M$41&amp;"."&amp;$Q$41&amp;"."&amp;$U$41</f>
        <v>...</v>
      </c>
    </row>
    <row r="42" spans="1:43" s="1950" customFormat="1" ht="17.25" hidden="1" customHeight="1">
      <c r="A42" s="246"/>
      <c r="C42" s="245"/>
      <c r="D42" s="2042"/>
      <c r="E42" s="2044"/>
      <c r="F42" s="2047"/>
      <c r="G42" s="2049"/>
      <c r="H42" s="1185"/>
      <c r="I42" s="1186"/>
      <c r="J42" s="1186"/>
      <c r="K42" s="1186"/>
      <c r="L42" s="1186"/>
      <c r="M42" s="1186"/>
      <c r="N42" s="1186"/>
      <c r="O42" s="1186"/>
      <c r="P42" s="1186"/>
      <c r="Q42" s="1186"/>
      <c r="R42" s="1186"/>
      <c r="S42" s="1187"/>
      <c r="T42" s="1187"/>
      <c r="U42" s="1187"/>
      <c r="V42" s="1187"/>
      <c r="W42" s="1188"/>
      <c r="X42" s="1142"/>
      <c r="Y42" s="1142"/>
      <c r="Z42" s="1142"/>
      <c r="AA42" s="1142"/>
      <c r="AB42" s="1142"/>
      <c r="AC42" s="194"/>
      <c r="AD42" s="194"/>
      <c r="AE42" s="194"/>
      <c r="AF42" s="194"/>
      <c r="AG42" s="194"/>
      <c r="AH42" s="194"/>
      <c r="AI42" s="194"/>
      <c r="AJ42" s="194"/>
      <c r="AK42" s="194"/>
      <c r="AL42" s="194"/>
      <c r="AM42" s="194"/>
      <c r="AN42" s="194"/>
      <c r="AO42" s="194"/>
      <c r="AP42" s="194"/>
      <c r="AQ42" s="194"/>
    </row>
    <row r="43" spans="1:43" s="1950" customFormat="1" ht="17.25" hidden="1" customHeight="1">
      <c r="A43" s="246"/>
      <c r="C43" s="131"/>
      <c r="D43" s="2064">
        <v>7</v>
      </c>
      <c r="E43" s="2067" t="s">
        <v>196</v>
      </c>
      <c r="F43" s="2045" t="s">
        <v>56</v>
      </c>
      <c r="G43" s="2070"/>
      <c r="H43" s="2050"/>
      <c r="I43" s="2052"/>
      <c r="J43" s="2054"/>
      <c r="K43" s="2039"/>
      <c r="L43" s="2039"/>
      <c r="M43" s="2039"/>
      <c r="N43" s="2057"/>
      <c r="O43" s="2039"/>
      <c r="P43" s="2039"/>
      <c r="Q43" s="2039"/>
      <c r="R43" s="2060"/>
      <c r="S43" s="2039"/>
      <c r="T43" s="1289"/>
      <c r="U43" s="1289"/>
      <c r="V43" s="1288"/>
      <c r="W43" s="1181"/>
      <c r="X43" s="1149"/>
      <c r="Y43" s="1149"/>
      <c r="Z43" s="1149"/>
      <c r="AA43" s="1149"/>
      <c r="AB43" s="1149"/>
      <c r="AC43" s="1228" t="s">
        <v>197</v>
      </c>
      <c r="AD43" s="1228" t="s">
        <v>198</v>
      </c>
      <c r="AE43" s="1228" t="s">
        <v>199</v>
      </c>
      <c r="AF43" s="1228" t="s">
        <v>200</v>
      </c>
      <c r="AG43" s="1228" t="s">
        <v>201</v>
      </c>
      <c r="AH43" s="1228" t="str">
        <f>IF($E$43=0,"",$E$43)</f>
        <v>Плата за услуги по поддержанию резервной тепловой мощности при отсутствии потребления тепловой энергии</v>
      </c>
      <c r="AI43" s="1228" t="str">
        <f>IF($G$43=0,"",$G$43)</f>
        <v/>
      </c>
      <c r="AJ43" s="1228" t="str">
        <f>IF($J$43=0,"",$J$43)</f>
        <v/>
      </c>
      <c r="AK43" s="1228" t="str">
        <f>IF($K$43="нет","без дифференциации",IF($N$43=0,"",$N$43))</f>
        <v/>
      </c>
      <c r="AL43" s="1228" t="str">
        <f>IF($O$43="нет","без дифференциации",IF($R$43=0,"",$R$43))</f>
        <v/>
      </c>
      <c r="AM43" s="1228" t="str">
        <f>IF($S$43="нет","без дифференциации",IF($V$43=0,"",$V$43))</f>
        <v/>
      </c>
      <c r="AN43" s="1381">
        <f>$I$43</f>
        <v>0</v>
      </c>
      <c r="AO43" s="1228" t="str">
        <f>$I$43&amp;"."&amp;$M$43</f>
        <v>.</v>
      </c>
      <c r="AP43" s="194" t="str">
        <f>$I$43&amp;"."&amp;$M$43&amp;"."&amp;$Q$43</f>
        <v>..</v>
      </c>
      <c r="AQ43" s="194" t="str">
        <f>$I$43&amp;"."&amp;$M$43&amp;"."&amp;$Q$43&amp;"."&amp;$U$43</f>
        <v>...</v>
      </c>
    </row>
    <row r="44" spans="1:43" s="1950" customFormat="1" ht="17.25" hidden="1" customHeight="1">
      <c r="A44" s="246"/>
      <c r="C44" s="245"/>
      <c r="D44" s="2065"/>
      <c r="E44" s="2068"/>
      <c r="F44" s="2046"/>
      <c r="G44" s="2071"/>
      <c r="H44" s="2051"/>
      <c r="I44" s="2053"/>
      <c r="J44" s="2055"/>
      <c r="K44" s="2040"/>
      <c r="L44" s="2040"/>
      <c r="M44" s="2040"/>
      <c r="N44" s="2058"/>
      <c r="O44" s="2040"/>
      <c r="P44" s="2040"/>
      <c r="Q44" s="2040"/>
      <c r="R44" s="2059"/>
      <c r="S44" s="2040"/>
      <c r="T44" s="1182"/>
      <c r="U44" s="1182"/>
      <c r="V44" s="1182"/>
      <c r="W44" s="1183"/>
      <c r="X44" s="1142"/>
      <c r="Y44" s="1142"/>
      <c r="Z44" s="1142"/>
      <c r="AA44" s="1142"/>
      <c r="AB44" s="1142"/>
      <c r="AC44" s="194"/>
      <c r="AD44" s="194"/>
      <c r="AE44" s="194"/>
      <c r="AF44" s="194"/>
      <c r="AG44" s="194"/>
      <c r="AH44" s="194"/>
      <c r="AI44" s="194"/>
      <c r="AJ44" s="194"/>
      <c r="AK44" s="194"/>
      <c r="AL44" s="194"/>
      <c r="AM44" s="194"/>
      <c r="AN44" s="194"/>
      <c r="AO44" s="194"/>
      <c r="AP44" s="194"/>
      <c r="AQ44" s="194"/>
    </row>
    <row r="45" spans="1:43" s="1950" customFormat="1" ht="17.25" hidden="1" customHeight="1">
      <c r="A45" s="246"/>
      <c r="C45" s="245"/>
      <c r="D45" s="2065"/>
      <c r="E45" s="2068"/>
      <c r="F45" s="2046"/>
      <c r="G45" s="2071"/>
      <c r="H45" s="2051"/>
      <c r="I45" s="2053"/>
      <c r="J45" s="2056"/>
      <c r="K45" s="2040"/>
      <c r="L45" s="2040"/>
      <c r="M45" s="2040"/>
      <c r="N45" s="2059"/>
      <c r="O45" s="2040"/>
      <c r="P45" s="1287"/>
      <c r="Q45" s="1182"/>
      <c r="R45" s="1182"/>
      <c r="S45" s="255"/>
      <c r="T45" s="255"/>
      <c r="U45" s="255"/>
      <c r="V45" s="255"/>
      <c r="W45" s="1183"/>
      <c r="X45" s="1142"/>
      <c r="Y45" s="1142"/>
      <c r="Z45" s="1142"/>
      <c r="AA45" s="1142"/>
      <c r="AB45" s="1142"/>
      <c r="AC45" s="194"/>
      <c r="AD45" s="194"/>
      <c r="AE45" s="194"/>
      <c r="AF45" s="194"/>
      <c r="AG45" s="194"/>
      <c r="AH45" s="194"/>
      <c r="AI45" s="194"/>
      <c r="AJ45" s="194"/>
      <c r="AK45" s="194"/>
      <c r="AL45" s="194"/>
      <c r="AM45" s="194"/>
      <c r="AN45" s="194"/>
      <c r="AO45" s="194"/>
      <c r="AP45" s="194"/>
      <c r="AQ45" s="194"/>
    </row>
    <row r="46" spans="1:43" s="1950" customFormat="1" ht="17.25" hidden="1" customHeight="1">
      <c r="A46" s="246"/>
      <c r="C46" s="131"/>
      <c r="D46" s="2065"/>
      <c r="E46" s="2068"/>
      <c r="F46" s="2046"/>
      <c r="G46" s="2071"/>
      <c r="H46" s="2051"/>
      <c r="I46" s="2053"/>
      <c r="J46" s="2056"/>
      <c r="K46" s="2040"/>
      <c r="L46" s="1182"/>
      <c r="M46" s="1182"/>
      <c r="N46" s="1182"/>
      <c r="O46" s="1182"/>
      <c r="P46" s="1182"/>
      <c r="Q46" s="1182"/>
      <c r="R46" s="1182"/>
      <c r="S46" s="255"/>
      <c r="T46" s="255"/>
      <c r="U46" s="255"/>
      <c r="V46" s="255"/>
      <c r="W46" s="1183"/>
      <c r="Y46" s="1149"/>
      <c r="Z46" s="1149"/>
      <c r="AA46" s="1149"/>
      <c r="AB46" s="1149"/>
      <c r="AC46" s="1228"/>
      <c r="AD46" s="1228"/>
      <c r="AE46" s="1228"/>
      <c r="AF46" s="1228"/>
      <c r="AG46" s="1228"/>
      <c r="AH46" s="1228"/>
      <c r="AI46" s="1228"/>
      <c r="AJ46" s="1228"/>
      <c r="AK46" s="1228"/>
      <c r="AL46" s="1228"/>
      <c r="AM46" s="1228"/>
      <c r="AN46" s="1228"/>
      <c r="AO46" s="1228"/>
      <c r="AP46" s="1228"/>
      <c r="AQ46" s="1228"/>
    </row>
    <row r="47" spans="1:43" s="1950" customFormat="1" ht="17.25" hidden="1" customHeight="1">
      <c r="A47" s="246"/>
      <c r="C47" s="245"/>
      <c r="D47" s="2066"/>
      <c r="E47" s="2069"/>
      <c r="F47" s="2047"/>
      <c r="G47" s="2072"/>
      <c r="H47" s="1185"/>
      <c r="I47" s="1186"/>
      <c r="J47" s="1186"/>
      <c r="K47" s="1186"/>
      <c r="L47" s="1186"/>
      <c r="M47" s="1186"/>
      <c r="N47" s="1186"/>
      <c r="O47" s="1186"/>
      <c r="P47" s="1186"/>
      <c r="Q47" s="1186"/>
      <c r="R47" s="1186"/>
      <c r="S47" s="1187"/>
      <c r="T47" s="1187"/>
      <c r="U47" s="1187"/>
      <c r="V47" s="1187"/>
      <c r="W47" s="1188"/>
      <c r="X47" s="1142"/>
      <c r="Y47" s="1142"/>
      <c r="Z47" s="1142"/>
      <c r="AA47" s="1142"/>
      <c r="AB47" s="1142"/>
      <c r="AC47" s="194"/>
      <c r="AD47" s="194"/>
      <c r="AE47" s="194"/>
      <c r="AF47" s="194"/>
      <c r="AG47" s="194"/>
      <c r="AH47" s="194"/>
      <c r="AI47" s="194"/>
      <c r="AJ47" s="194"/>
      <c r="AK47" s="194"/>
      <c r="AL47" s="194"/>
      <c r="AM47" s="194"/>
      <c r="AN47" s="194"/>
      <c r="AO47" s="194"/>
      <c r="AP47" s="194"/>
      <c r="AQ47" s="194"/>
    </row>
    <row r="48" spans="1:43" s="1950" customFormat="1" ht="17.25" hidden="1" customHeight="1">
      <c r="A48" s="246"/>
      <c r="C48" s="131"/>
      <c r="D48" s="2041">
        <v>8</v>
      </c>
      <c r="E48" s="2043" t="s">
        <v>202</v>
      </c>
      <c r="F48" s="2045" t="s">
        <v>56</v>
      </c>
      <c r="G48" s="2048"/>
      <c r="H48" s="2050"/>
      <c r="I48" s="2052"/>
      <c r="J48" s="2054"/>
      <c r="K48" s="2039"/>
      <c r="L48" s="2039"/>
      <c r="M48" s="2039"/>
      <c r="N48" s="2057"/>
      <c r="O48" s="2039"/>
      <c r="P48" s="2039"/>
      <c r="Q48" s="2039"/>
      <c r="R48" s="2060"/>
      <c r="S48" s="2039"/>
      <c r="T48" s="1333"/>
      <c r="U48" s="1333"/>
      <c r="V48" s="1335"/>
      <c r="W48" s="1181"/>
      <c r="X48" s="1149"/>
      <c r="Y48" s="1149"/>
      <c r="Z48" s="1149"/>
      <c r="AA48" s="1149"/>
      <c r="AB48" s="1149"/>
      <c r="AC48" s="1228" t="s">
        <v>203</v>
      </c>
      <c r="AD48" s="1228" t="s">
        <v>204</v>
      </c>
      <c r="AE48" s="1228" t="s">
        <v>205</v>
      </c>
      <c r="AF48" s="1228" t="s">
        <v>206</v>
      </c>
      <c r="AG48" s="1228" t="s">
        <v>207</v>
      </c>
      <c r="AH48" s="1228" t="str">
        <f>IF($E$48=0,"",$E$48)</f>
        <v>Плата за подключение (технологическое присоединение) к системе теплоснабжения</v>
      </c>
      <c r="AI48" s="1228" t="str">
        <f>IF($G$48=0,"",$G$48)</f>
        <v/>
      </c>
      <c r="AJ48" s="1228" t="str">
        <f>IF($J$48=0,"",$J$48)</f>
        <v/>
      </c>
      <c r="AK48" s="1228" t="str">
        <f>IF($K$48="нет","без дифференциации",IF($N$48=0,"",$N$48))</f>
        <v/>
      </c>
      <c r="AL48" s="1228" t="str">
        <f>IF($O$48="нет","без дифференциации",IF($R$48=0,"",$R$48))</f>
        <v/>
      </c>
      <c r="AM48" s="1228" t="str">
        <f>IF($S$48="нет","без дифференциации",IF($V$48=0,"",$V$48))</f>
        <v/>
      </c>
      <c r="AN48" s="1381">
        <f>$I$48</f>
        <v>0</v>
      </c>
      <c r="AO48" s="1228" t="str">
        <f>$I$48&amp;"."&amp;$M$48</f>
        <v>.</v>
      </c>
      <c r="AP48" s="194" t="str">
        <f>$I$48&amp;"."&amp;$M$48&amp;"."&amp;$Q$48</f>
        <v>..</v>
      </c>
      <c r="AQ48" s="194" t="str">
        <f>$I$48&amp;"."&amp;$M$48&amp;"."&amp;$Q$48&amp;"."&amp;$U$48</f>
        <v>...</v>
      </c>
    </row>
    <row r="49" spans="1:43" s="1950" customFormat="1" ht="17.25" hidden="1" customHeight="1">
      <c r="A49" s="246"/>
      <c r="C49" s="245"/>
      <c r="D49" s="2041"/>
      <c r="E49" s="2043"/>
      <c r="F49" s="2046"/>
      <c r="G49" s="2048"/>
      <c r="H49" s="2051"/>
      <c r="I49" s="2053"/>
      <c r="J49" s="2055"/>
      <c r="K49" s="2040"/>
      <c r="L49" s="2040"/>
      <c r="M49" s="2040"/>
      <c r="N49" s="2058"/>
      <c r="O49" s="2040"/>
      <c r="P49" s="2040"/>
      <c r="Q49" s="2040"/>
      <c r="R49" s="2059"/>
      <c r="S49" s="2040"/>
      <c r="T49" s="1182"/>
      <c r="U49" s="1182"/>
      <c r="V49" s="1182"/>
      <c r="W49" s="1183"/>
      <c r="X49" s="1142"/>
      <c r="Y49" s="1142"/>
      <c r="Z49" s="1142"/>
      <c r="AA49" s="1142"/>
      <c r="AB49" s="1142"/>
      <c r="AC49" s="194"/>
      <c r="AD49" s="194"/>
      <c r="AE49" s="194"/>
      <c r="AF49" s="194"/>
      <c r="AG49" s="194"/>
      <c r="AH49" s="194"/>
      <c r="AI49" s="194"/>
      <c r="AJ49" s="194"/>
      <c r="AK49" s="194"/>
      <c r="AL49" s="194"/>
      <c r="AM49" s="194"/>
      <c r="AN49" s="194"/>
      <c r="AO49" s="194"/>
      <c r="AP49" s="194"/>
      <c r="AQ49" s="194"/>
    </row>
    <row r="50" spans="1:43" s="1950" customFormat="1" ht="17.25" hidden="1" customHeight="1">
      <c r="A50" s="246"/>
      <c r="C50" s="245"/>
      <c r="D50" s="2042"/>
      <c r="E50" s="2044"/>
      <c r="F50" s="2046"/>
      <c r="G50" s="2049"/>
      <c r="H50" s="2051"/>
      <c r="I50" s="2053"/>
      <c r="J50" s="2056"/>
      <c r="K50" s="2040"/>
      <c r="L50" s="2040"/>
      <c r="M50" s="2040"/>
      <c r="N50" s="2059"/>
      <c r="O50" s="2040"/>
      <c r="P50" s="1334"/>
      <c r="Q50" s="1182"/>
      <c r="R50" s="1182"/>
      <c r="S50" s="255"/>
      <c r="T50" s="255"/>
      <c r="U50" s="255"/>
      <c r="V50" s="255"/>
      <c r="W50" s="1183"/>
      <c r="X50" s="1142"/>
      <c r="Y50" s="1142"/>
      <c r="Z50" s="1142"/>
      <c r="AA50" s="1142"/>
      <c r="AB50" s="1142"/>
      <c r="AC50" s="194"/>
      <c r="AD50" s="194"/>
      <c r="AE50" s="194"/>
      <c r="AF50" s="194"/>
      <c r="AG50" s="194"/>
      <c r="AH50" s="194"/>
      <c r="AI50" s="194"/>
      <c r="AJ50" s="194"/>
      <c r="AK50" s="194"/>
      <c r="AL50" s="194"/>
      <c r="AM50" s="194"/>
      <c r="AN50" s="194"/>
      <c r="AO50" s="194"/>
      <c r="AP50" s="194"/>
      <c r="AQ50" s="194"/>
    </row>
    <row r="51" spans="1:43" s="1950" customFormat="1" ht="17.25" hidden="1" customHeight="1">
      <c r="A51" s="246"/>
      <c r="C51" s="131"/>
      <c r="D51" s="2042"/>
      <c r="E51" s="2044"/>
      <c r="F51" s="2046"/>
      <c r="G51" s="2049"/>
      <c r="H51" s="2051"/>
      <c r="I51" s="2053"/>
      <c r="J51" s="2056"/>
      <c r="K51" s="2040"/>
      <c r="L51" s="1182"/>
      <c r="M51" s="1182"/>
      <c r="N51" s="1182"/>
      <c r="O51" s="1182"/>
      <c r="P51" s="1182"/>
      <c r="Q51" s="1182"/>
      <c r="R51" s="1182"/>
      <c r="S51" s="255"/>
      <c r="T51" s="255"/>
      <c r="U51" s="255"/>
      <c r="V51" s="255"/>
      <c r="W51" s="1183"/>
      <c r="Y51" s="1149"/>
      <c r="Z51" s="1149"/>
      <c r="AA51" s="1149"/>
      <c r="AB51" s="1149"/>
      <c r="AC51" s="1228"/>
      <c r="AD51" s="1228"/>
      <c r="AE51" s="1228"/>
      <c r="AF51" s="1228"/>
      <c r="AG51" s="1228"/>
      <c r="AH51" s="1228"/>
      <c r="AI51" s="1228"/>
      <c r="AJ51" s="1228"/>
      <c r="AK51" s="1228"/>
      <c r="AL51" s="1228"/>
      <c r="AM51" s="1228"/>
      <c r="AN51" s="1228"/>
      <c r="AO51" s="1228"/>
      <c r="AP51" s="1228"/>
      <c r="AQ51" s="1228"/>
    </row>
    <row r="52" spans="1:43" s="1950" customFormat="1" ht="17.25" hidden="1" customHeight="1">
      <c r="A52" s="246"/>
      <c r="C52" s="245"/>
      <c r="D52" s="2042"/>
      <c r="E52" s="2044"/>
      <c r="F52" s="2047"/>
      <c r="G52" s="2049"/>
      <c r="H52" s="1185"/>
      <c r="I52" s="1186"/>
      <c r="J52" s="1186"/>
      <c r="K52" s="1186"/>
      <c r="L52" s="1186"/>
      <c r="M52" s="1186"/>
      <c r="N52" s="1186"/>
      <c r="O52" s="1186"/>
      <c r="P52" s="1186"/>
      <c r="Q52" s="1186"/>
      <c r="R52" s="1186"/>
      <c r="S52" s="1187"/>
      <c r="T52" s="1187"/>
      <c r="U52" s="1187"/>
      <c r="V52" s="1187"/>
      <c r="W52" s="1188"/>
      <c r="X52" s="1142"/>
      <c r="Y52" s="1142"/>
      <c r="Z52" s="1142"/>
      <c r="AA52" s="1142"/>
      <c r="AB52" s="1142"/>
      <c r="AC52" s="194"/>
      <c r="AD52" s="194"/>
      <c r="AE52" s="194"/>
      <c r="AF52" s="194"/>
      <c r="AG52" s="194"/>
      <c r="AH52" s="194"/>
      <c r="AI52" s="194"/>
      <c r="AJ52" s="194"/>
      <c r="AK52" s="194"/>
      <c r="AL52" s="194"/>
      <c r="AM52" s="194"/>
      <c r="AN52" s="194"/>
      <c r="AO52" s="194"/>
      <c r="AP52" s="194"/>
      <c r="AQ52" s="194"/>
    </row>
    <row r="53" spans="1:43" ht="11.25" hidden="1" customHeight="1"/>
    <row r="54" spans="1:43" ht="11.25" hidden="1" customHeight="1">
      <c r="E54" s="2063" t="s">
        <v>208</v>
      </c>
      <c r="F54" s="2063"/>
      <c r="G54" s="2063"/>
      <c r="H54" s="2063"/>
      <c r="I54" s="2063"/>
      <c r="J54" s="2063"/>
      <c r="K54" s="2063"/>
      <c r="L54" s="2063"/>
      <c r="M54" s="2063"/>
      <c r="N54" s="2063"/>
      <c r="O54" s="2063"/>
      <c r="P54" s="2063"/>
      <c r="Q54" s="2063"/>
      <c r="R54" s="2063"/>
      <c r="S54" s="2063"/>
      <c r="T54" s="2063"/>
      <c r="U54" s="2063"/>
      <c r="V54" s="2063"/>
      <c r="W54" s="2063"/>
    </row>
    <row r="55" spans="1:43" ht="36.75" hidden="1" customHeight="1">
      <c r="E55" s="2061" t="s">
        <v>209</v>
      </c>
      <c r="F55" s="2061"/>
      <c r="G55" s="2062"/>
      <c r="H55" s="2062"/>
      <c r="I55" s="2062"/>
      <c r="J55" s="2062"/>
      <c r="K55" s="2062"/>
      <c r="L55" s="2062"/>
      <c r="M55" s="2062"/>
      <c r="N55" s="2062"/>
      <c r="O55" s="2062"/>
      <c r="P55" s="2062"/>
      <c r="Q55" s="2062"/>
      <c r="R55" s="2062"/>
      <c r="S55" s="2062"/>
      <c r="T55" s="2062"/>
      <c r="U55" s="2062"/>
      <c r="V55" s="2062"/>
      <c r="W55" s="2062"/>
    </row>
    <row r="56" spans="1:43" ht="28.5" hidden="1" customHeight="1">
      <c r="E56" s="2061" t="s">
        <v>210</v>
      </c>
      <c r="F56" s="2061"/>
      <c r="G56" s="2062"/>
      <c r="H56" s="2062"/>
      <c r="I56" s="2062"/>
      <c r="J56" s="2062"/>
      <c r="K56" s="2062"/>
      <c r="L56" s="2062"/>
      <c r="M56" s="2062"/>
      <c r="N56" s="2062"/>
      <c r="O56" s="2062"/>
      <c r="P56" s="2062"/>
      <c r="Q56" s="2062"/>
      <c r="R56" s="2062"/>
      <c r="S56" s="2062"/>
      <c r="T56" s="2062"/>
      <c r="U56" s="2062"/>
      <c r="V56" s="2062"/>
      <c r="W56" s="2062"/>
    </row>
    <row r="57" spans="1:43" ht="27" hidden="1" customHeight="1">
      <c r="E57" s="2061" t="s">
        <v>211</v>
      </c>
      <c r="F57" s="2061"/>
      <c r="G57" s="2062"/>
      <c r="H57" s="2062"/>
      <c r="I57" s="2062"/>
      <c r="J57" s="2062"/>
      <c r="K57" s="2062"/>
      <c r="L57" s="2062"/>
      <c r="M57" s="2062"/>
      <c r="N57" s="2062"/>
      <c r="O57" s="2062"/>
      <c r="P57" s="2062"/>
      <c r="Q57" s="2062"/>
      <c r="R57" s="2062"/>
      <c r="S57" s="2062"/>
      <c r="T57" s="2062"/>
      <c r="U57" s="2062"/>
      <c r="V57" s="2062"/>
      <c r="W57" s="2062"/>
    </row>
    <row r="58" spans="1:43" ht="17.25" hidden="1" customHeight="1">
      <c r="E58" s="2061" t="s">
        <v>212</v>
      </c>
      <c r="F58" s="2061"/>
      <c r="G58" s="2062"/>
      <c r="H58" s="2062"/>
      <c r="I58" s="2062"/>
      <c r="J58" s="2062"/>
      <c r="K58" s="2062"/>
      <c r="L58" s="2062"/>
      <c r="M58" s="2062"/>
      <c r="N58" s="2062"/>
      <c r="O58" s="2062"/>
      <c r="P58" s="2062"/>
      <c r="Q58" s="2062"/>
      <c r="R58" s="2062"/>
      <c r="S58" s="2062"/>
      <c r="T58" s="2062"/>
      <c r="U58" s="2062"/>
      <c r="V58" s="2062"/>
      <c r="W58" s="2062"/>
    </row>
    <row r="59" spans="1:43" ht="15" hidden="1" customHeight="1">
      <c r="E59" s="265"/>
      <c r="F59" s="1167"/>
      <c r="G59" s="86"/>
      <c r="H59" s="86"/>
      <c r="I59" s="86"/>
      <c r="J59" s="86"/>
      <c r="K59" s="86"/>
      <c r="L59" s="86"/>
      <c r="M59" s="86"/>
      <c r="N59" s="86"/>
      <c r="O59" s="86"/>
      <c r="P59" s="86"/>
      <c r="Q59" s="86"/>
      <c r="R59" s="86"/>
      <c r="S59" s="86"/>
      <c r="T59" s="86"/>
      <c r="U59" s="86"/>
      <c r="V59" s="86"/>
      <c r="W59" s="86"/>
    </row>
    <row r="60" spans="1:43" ht="15" hidden="1" customHeight="1">
      <c r="E60" s="2063" t="s">
        <v>213</v>
      </c>
      <c r="F60" s="2063"/>
      <c r="G60" s="2063"/>
      <c r="H60" s="2063"/>
      <c r="I60" s="2063"/>
      <c r="J60" s="2063"/>
      <c r="K60" s="2063"/>
      <c r="L60" s="2063"/>
      <c r="M60" s="2063"/>
      <c r="N60" s="2063"/>
      <c r="O60" s="2063"/>
      <c r="P60" s="2063"/>
      <c r="Q60" s="2063"/>
      <c r="R60" s="2063"/>
      <c r="S60" s="2063"/>
      <c r="T60" s="2063"/>
      <c r="U60" s="2063"/>
      <c r="V60" s="2063"/>
      <c r="W60" s="2063"/>
    </row>
    <row r="61" spans="1:43" ht="17.25" hidden="1" customHeight="1">
      <c r="E61" s="2061" t="s">
        <v>214</v>
      </c>
      <c r="F61" s="2061"/>
      <c r="G61" s="2062"/>
      <c r="H61" s="2062"/>
      <c r="I61" s="2062"/>
      <c r="J61" s="2062"/>
      <c r="K61" s="2062"/>
      <c r="L61" s="2062"/>
      <c r="M61" s="2062"/>
      <c r="N61" s="2062"/>
      <c r="O61" s="2062"/>
      <c r="P61" s="2062"/>
      <c r="Q61" s="2062"/>
      <c r="R61" s="2062"/>
      <c r="S61" s="2062"/>
      <c r="T61" s="2062"/>
      <c r="U61" s="2062"/>
      <c r="V61" s="2062"/>
      <c r="W61" s="2062"/>
    </row>
    <row r="62" spans="1:43" ht="17.25" hidden="1" customHeight="1">
      <c r="E62" s="2061" t="s">
        <v>215</v>
      </c>
      <c r="F62" s="2061"/>
      <c r="G62" s="2062"/>
      <c r="H62" s="2062"/>
      <c r="I62" s="2062"/>
      <c r="J62" s="2062"/>
      <c r="K62" s="2062"/>
      <c r="L62" s="2062"/>
      <c r="M62" s="2062"/>
      <c r="N62" s="2062"/>
      <c r="O62" s="2062"/>
      <c r="P62" s="2062"/>
      <c r="Q62" s="2062"/>
      <c r="R62" s="2062"/>
      <c r="S62" s="2062"/>
      <c r="T62" s="2062"/>
      <c r="U62" s="2062"/>
      <c r="V62" s="2062"/>
      <c r="W62" s="2062"/>
    </row>
    <row r="63" spans="1:43" s="1950" customFormat="1" ht="11.25" hidden="1" customHeight="1">
      <c r="A63" s="194"/>
      <c r="B63" s="194"/>
      <c r="Y63" s="1142"/>
      <c r="Z63" s="1142"/>
      <c r="AA63" s="1142"/>
      <c r="AB63" s="1142"/>
      <c r="AC63" s="194"/>
      <c r="AD63" s="194"/>
      <c r="AE63" s="194"/>
      <c r="AF63" s="194"/>
      <c r="AG63" s="194"/>
      <c r="AH63" s="194"/>
      <c r="AI63" s="194"/>
      <c r="AJ63" s="194"/>
      <c r="AK63" s="194"/>
      <c r="AL63" s="194"/>
      <c r="AM63" s="194"/>
      <c r="AN63" s="194"/>
      <c r="AO63" s="194"/>
      <c r="AP63" s="194"/>
      <c r="AQ63" s="194"/>
    </row>
    <row r="64" spans="1:43" s="1950" customFormat="1" ht="17.25" hidden="1" customHeight="1">
      <c r="A64" s="246"/>
      <c r="C64" s="131"/>
      <c r="D64" s="2041">
        <v>1</v>
      </c>
      <c r="E64" s="2043" t="s">
        <v>216</v>
      </c>
      <c r="F64" s="2045" t="s">
        <v>56</v>
      </c>
      <c r="G64" s="2048"/>
      <c r="H64" s="2050"/>
      <c r="I64" s="2052"/>
      <c r="J64" s="2054"/>
      <c r="K64" s="2039"/>
      <c r="L64" s="2039"/>
      <c r="M64" s="2039"/>
      <c r="N64" s="2057"/>
      <c r="O64" s="2039"/>
      <c r="P64" s="2039"/>
      <c r="Q64" s="2039"/>
      <c r="R64" s="2060"/>
      <c r="S64" s="2039"/>
      <c r="T64" s="1333"/>
      <c r="U64" s="1333"/>
      <c r="V64" s="1335"/>
      <c r="W64" s="1181"/>
      <c r="Y64" s="1149"/>
      <c r="Z64" s="1149"/>
      <c r="AA64" s="1149"/>
      <c r="AB64" s="1149"/>
      <c r="AC64" s="1228" t="s">
        <v>217</v>
      </c>
      <c r="AD64" s="1228" t="s">
        <v>218</v>
      </c>
      <c r="AE64" s="1228" t="s">
        <v>219</v>
      </c>
      <c r="AF64" s="1228" t="s">
        <v>220</v>
      </c>
      <c r="AG64" s="1228"/>
      <c r="AH64" s="1228" t="str">
        <f>IF($E$64=0,"",$E$64)</f>
        <v>Тариф на питьевую воду (питьевое водоснабжение)</v>
      </c>
      <c r="AI64" s="1228" t="str">
        <f>IF($G$64=0,"",$G$64)</f>
        <v/>
      </c>
      <c r="AJ64" s="1228" t="str">
        <f>IF($J$64=0,"",$J$64)</f>
        <v/>
      </c>
      <c r="AK64" s="1228" t="str">
        <f>IF($K$64="нет","без дифференциации",IF($N$64=0,"",$N$64))</f>
        <v/>
      </c>
      <c r="AL64" s="1228" t="str">
        <f>IF($O$64="нет","без дифференциации",IF($R$64=0,"",$R$64))</f>
        <v/>
      </c>
      <c r="AM64" s="1228" t="str">
        <f>IF($S$64="нет","без дифференциации",IF($V$64=0,"",$V$64))</f>
        <v/>
      </c>
      <c r="AN64" s="1228">
        <f>$I$64</f>
        <v>0</v>
      </c>
      <c r="AO64" s="1228" t="str">
        <f>$I$64&amp;"."&amp;$M$64</f>
        <v>.</v>
      </c>
      <c r="AP64" s="1228" t="str">
        <f>$I$64&amp;"."&amp;$M$64&amp;"."&amp;$Q$64</f>
        <v>..</v>
      </c>
      <c r="AQ64" s="1228" t="str">
        <f>$I$64&amp;"."&amp;$M$64&amp;"."&amp;$Q$64&amp;"."&amp;$U$64</f>
        <v>...</v>
      </c>
    </row>
    <row r="65" spans="1:43" s="1950" customFormat="1" ht="17.25" hidden="1" customHeight="1">
      <c r="A65" s="246"/>
      <c r="C65" s="245"/>
      <c r="D65" s="2041"/>
      <c r="E65" s="2043"/>
      <c r="F65" s="2046"/>
      <c r="G65" s="2048"/>
      <c r="H65" s="2051"/>
      <c r="I65" s="2053"/>
      <c r="J65" s="2055"/>
      <c r="K65" s="2040"/>
      <c r="L65" s="2040"/>
      <c r="M65" s="2040"/>
      <c r="N65" s="2058"/>
      <c r="O65" s="2040"/>
      <c r="P65" s="2040"/>
      <c r="Q65" s="2040"/>
      <c r="R65" s="2059"/>
      <c r="S65" s="2040"/>
      <c r="T65" s="1182"/>
      <c r="U65" s="1182"/>
      <c r="V65" s="1182"/>
      <c r="W65" s="1183"/>
      <c r="Y65" s="1142"/>
      <c r="Z65" s="1142"/>
      <c r="AA65" s="1142"/>
      <c r="AB65" s="1142"/>
      <c r="AC65" s="194"/>
      <c r="AD65" s="194"/>
      <c r="AE65" s="194"/>
      <c r="AF65" s="194"/>
      <c r="AG65" s="194"/>
      <c r="AH65" s="194"/>
      <c r="AI65" s="194"/>
      <c r="AJ65" s="194"/>
      <c r="AK65" s="194"/>
      <c r="AL65" s="194"/>
      <c r="AM65" s="194"/>
      <c r="AN65" s="194"/>
      <c r="AO65" s="194"/>
      <c r="AP65" s="194"/>
      <c r="AQ65" s="194"/>
    </row>
    <row r="66" spans="1:43" s="1950" customFormat="1" ht="17.25" hidden="1" customHeight="1">
      <c r="A66" s="246"/>
      <c r="C66" s="131"/>
      <c r="D66" s="2041"/>
      <c r="E66" s="2043"/>
      <c r="F66" s="2046"/>
      <c r="G66" s="2048"/>
      <c r="H66" s="2051"/>
      <c r="I66" s="2053"/>
      <c r="J66" s="2056"/>
      <c r="K66" s="2040"/>
      <c r="L66" s="2040"/>
      <c r="M66" s="2040"/>
      <c r="N66" s="2059"/>
      <c r="O66" s="2040"/>
      <c r="P66" s="1334"/>
      <c r="Q66" s="1182"/>
      <c r="R66" s="1182"/>
      <c r="S66" s="255"/>
      <c r="T66" s="255"/>
      <c r="U66" s="255"/>
      <c r="V66" s="255"/>
      <c r="W66" s="1183"/>
      <c r="Y66" s="1149"/>
      <c r="Z66" s="1149"/>
      <c r="AA66" s="1149"/>
      <c r="AB66" s="1149"/>
      <c r="AC66" s="1228"/>
      <c r="AD66" s="1228"/>
      <c r="AE66" s="1228"/>
      <c r="AF66" s="1228"/>
      <c r="AG66" s="1228"/>
      <c r="AH66" s="1228"/>
      <c r="AI66" s="1228"/>
      <c r="AJ66" s="1228"/>
      <c r="AK66" s="1228"/>
      <c r="AL66" s="1228"/>
      <c r="AM66" s="1228"/>
      <c r="AN66" s="1228"/>
      <c r="AO66" s="1228"/>
      <c r="AP66" s="1228"/>
      <c r="AQ66" s="1228"/>
    </row>
    <row r="67" spans="1:43" s="1950" customFormat="1" ht="17.25" hidden="1" customHeight="1">
      <c r="A67" s="246"/>
      <c r="C67" s="245"/>
      <c r="D67" s="2041"/>
      <c r="E67" s="2043"/>
      <c r="F67" s="2046"/>
      <c r="G67" s="2048"/>
      <c r="H67" s="2051"/>
      <c r="I67" s="2053"/>
      <c r="J67" s="2056"/>
      <c r="K67" s="2040"/>
      <c r="L67" s="1182"/>
      <c r="M67" s="1182"/>
      <c r="N67" s="1182"/>
      <c r="O67" s="1182"/>
      <c r="P67" s="1182"/>
      <c r="Q67" s="1182"/>
      <c r="R67" s="1182"/>
      <c r="S67" s="255"/>
      <c r="T67" s="255"/>
      <c r="U67" s="255"/>
      <c r="V67" s="255"/>
      <c r="W67" s="1183"/>
      <c r="Y67" s="1142"/>
      <c r="Z67" s="1142"/>
      <c r="AA67" s="1142"/>
      <c r="AB67" s="1142"/>
      <c r="AC67" s="194"/>
      <c r="AD67" s="194"/>
      <c r="AE67" s="194"/>
      <c r="AF67" s="194"/>
      <c r="AG67" s="194"/>
      <c r="AH67" s="194"/>
      <c r="AI67" s="194"/>
      <c r="AJ67" s="194"/>
      <c r="AK67" s="194"/>
      <c r="AL67" s="194"/>
      <c r="AM67" s="194"/>
      <c r="AN67" s="194"/>
      <c r="AO67" s="194"/>
      <c r="AP67" s="194"/>
      <c r="AQ67" s="194"/>
    </row>
    <row r="68" spans="1:43" s="1950" customFormat="1" ht="17.25" hidden="1" customHeight="1">
      <c r="A68" s="246"/>
      <c r="C68" s="245"/>
      <c r="D68" s="2042"/>
      <c r="E68" s="2044"/>
      <c r="F68" s="2047"/>
      <c r="G68" s="2049"/>
      <c r="H68" s="1185"/>
      <c r="I68" s="1186"/>
      <c r="J68" s="1186"/>
      <c r="K68" s="1186"/>
      <c r="L68" s="1186"/>
      <c r="M68" s="1186"/>
      <c r="N68" s="1186"/>
      <c r="O68" s="1186"/>
      <c r="P68" s="1186"/>
      <c r="Q68" s="1186"/>
      <c r="R68" s="1186"/>
      <c r="S68" s="1187"/>
      <c r="T68" s="1187"/>
      <c r="U68" s="1187"/>
      <c r="V68" s="1187"/>
      <c r="W68" s="1188"/>
      <c r="Y68" s="1142"/>
      <c r="Z68" s="1142"/>
      <c r="AA68" s="1142"/>
      <c r="AB68" s="1142"/>
      <c r="AC68" s="194"/>
      <c r="AD68" s="194"/>
      <c r="AE68" s="194"/>
      <c r="AF68" s="194"/>
      <c r="AG68" s="194"/>
      <c r="AH68" s="194"/>
      <c r="AI68" s="194"/>
      <c r="AJ68" s="194"/>
      <c r="AK68" s="194"/>
      <c r="AL68" s="194"/>
      <c r="AM68" s="194"/>
      <c r="AN68" s="194"/>
      <c r="AO68" s="194"/>
      <c r="AP68" s="194"/>
      <c r="AQ68" s="194"/>
    </row>
    <row r="69" spans="1:43" s="1950" customFormat="1" ht="17.25" hidden="1" customHeight="1">
      <c r="A69" s="246"/>
      <c r="C69" s="131"/>
      <c r="D69" s="2041">
        <v>2</v>
      </c>
      <c r="E69" s="2043" t="s">
        <v>221</v>
      </c>
      <c r="F69" s="2045" t="s">
        <v>56</v>
      </c>
      <c r="G69" s="2048"/>
      <c r="H69" s="2050"/>
      <c r="I69" s="2052"/>
      <c r="J69" s="2054"/>
      <c r="K69" s="2039"/>
      <c r="L69" s="2039"/>
      <c r="M69" s="2039"/>
      <c r="N69" s="2057"/>
      <c r="O69" s="2039"/>
      <c r="P69" s="2039"/>
      <c r="Q69" s="2039"/>
      <c r="R69" s="2060"/>
      <c r="S69" s="2039"/>
      <c r="T69" s="1309"/>
      <c r="U69" s="1309"/>
      <c r="V69" s="1311"/>
      <c r="W69" s="1181"/>
      <c r="X69" s="1149"/>
      <c r="Y69" s="1149"/>
      <c r="Z69" s="1149"/>
      <c r="AA69" s="1149"/>
      <c r="AB69" s="1149"/>
      <c r="AC69" s="1228" t="s">
        <v>222</v>
      </c>
      <c r="AD69" s="1228" t="s">
        <v>223</v>
      </c>
      <c r="AE69" s="1228" t="s">
        <v>224</v>
      </c>
      <c r="AF69" s="1228" t="s">
        <v>225</v>
      </c>
      <c r="AG69" s="1228"/>
      <c r="AH69" s="1228" t="str">
        <f>IF($E$69=0,"",$E$69)</f>
        <v>Тариф на техническую воду</v>
      </c>
      <c r="AI69" s="1228" t="str">
        <f>IF($G$69=0,"",$G$69)</f>
        <v/>
      </c>
      <c r="AJ69" s="1228" t="str">
        <f>IF($J$69=0,"",$J$69)</f>
        <v/>
      </c>
      <c r="AK69" s="1228" t="str">
        <f>IF($K$69="нет","без дифференциации",IF($N$69=0,"",$N$69))</f>
        <v/>
      </c>
      <c r="AL69" s="1228" t="str">
        <f>IF($O$69="нет","без дифференциации",IF($R$69=0,"",$R$69))</f>
        <v/>
      </c>
      <c r="AM69" s="1228" t="str">
        <f>IF($S$69="нет","без дифференциации",IF($V$69=0,"",$V$69))</f>
        <v/>
      </c>
      <c r="AN69" s="1381">
        <f>$I$69</f>
        <v>0</v>
      </c>
      <c r="AO69" s="1228" t="str">
        <f>$I$69&amp;"."&amp;$M$69</f>
        <v>.</v>
      </c>
      <c r="AP69" s="194" t="str">
        <f>$I$69&amp;"."&amp;$M$69&amp;"."&amp;$Q$69</f>
        <v>..</v>
      </c>
      <c r="AQ69" s="194" t="str">
        <f>$I$69&amp;"."&amp;$M$69&amp;"."&amp;$Q$69&amp;"."&amp;$U$69</f>
        <v>...</v>
      </c>
    </row>
    <row r="70" spans="1:43" s="1950" customFormat="1" ht="17.25" hidden="1" customHeight="1">
      <c r="A70" s="246"/>
      <c r="C70" s="245"/>
      <c r="D70" s="2041"/>
      <c r="E70" s="2043"/>
      <c r="F70" s="2046"/>
      <c r="G70" s="2048"/>
      <c r="H70" s="2051"/>
      <c r="I70" s="2053"/>
      <c r="J70" s="2055"/>
      <c r="K70" s="2040"/>
      <c r="L70" s="2040"/>
      <c r="M70" s="2040"/>
      <c r="N70" s="2058"/>
      <c r="O70" s="2040"/>
      <c r="P70" s="2040"/>
      <c r="Q70" s="2040"/>
      <c r="R70" s="2059"/>
      <c r="S70" s="2040"/>
      <c r="T70" s="1182"/>
      <c r="U70" s="1182"/>
      <c r="V70" s="1182"/>
      <c r="W70" s="1183"/>
      <c r="X70" s="1142"/>
      <c r="Y70" s="1142"/>
      <c r="Z70" s="1142"/>
      <c r="AA70" s="1142"/>
      <c r="AB70" s="1142"/>
      <c r="AC70" s="194"/>
      <c r="AD70" s="194"/>
      <c r="AE70" s="194"/>
      <c r="AF70" s="194"/>
      <c r="AG70" s="194"/>
      <c r="AH70" s="194"/>
      <c r="AI70" s="194"/>
      <c r="AJ70" s="194"/>
      <c r="AK70" s="194"/>
      <c r="AL70" s="194"/>
      <c r="AM70" s="194"/>
      <c r="AN70" s="194"/>
      <c r="AO70" s="194"/>
      <c r="AP70" s="194"/>
      <c r="AQ70" s="194"/>
    </row>
    <row r="71" spans="1:43" s="1950" customFormat="1" ht="17.25" hidden="1" customHeight="1">
      <c r="A71" s="246"/>
      <c r="C71" s="245"/>
      <c r="D71" s="2042"/>
      <c r="E71" s="2044"/>
      <c r="F71" s="2046"/>
      <c r="G71" s="2049"/>
      <c r="H71" s="2051"/>
      <c r="I71" s="2053"/>
      <c r="J71" s="2056"/>
      <c r="K71" s="2040"/>
      <c r="L71" s="2040"/>
      <c r="M71" s="2040"/>
      <c r="N71" s="2059"/>
      <c r="O71" s="2040"/>
      <c r="P71" s="1310"/>
      <c r="Q71" s="1182"/>
      <c r="R71" s="1182"/>
      <c r="S71" s="255"/>
      <c r="T71" s="255"/>
      <c r="U71" s="255"/>
      <c r="V71" s="255"/>
      <c r="W71" s="1183"/>
      <c r="X71" s="1142"/>
      <c r="Y71" s="1142"/>
      <c r="Z71" s="1142"/>
      <c r="AA71" s="1142"/>
      <c r="AB71" s="1142"/>
      <c r="AC71" s="194"/>
      <c r="AD71" s="194"/>
      <c r="AE71" s="194"/>
      <c r="AF71" s="194"/>
      <c r="AG71" s="194"/>
      <c r="AH71" s="194"/>
      <c r="AI71" s="194"/>
      <c r="AJ71" s="194"/>
      <c r="AK71" s="194"/>
      <c r="AL71" s="194"/>
      <c r="AM71" s="194"/>
      <c r="AN71" s="194"/>
      <c r="AO71" s="194"/>
      <c r="AP71" s="194"/>
      <c r="AQ71" s="194"/>
    </row>
    <row r="72" spans="1:43" s="1950" customFormat="1" ht="17.25" hidden="1" customHeight="1">
      <c r="A72" s="246"/>
      <c r="C72" s="245"/>
      <c r="D72" s="2042"/>
      <c r="E72" s="2044"/>
      <c r="F72" s="2046"/>
      <c r="G72" s="2049"/>
      <c r="H72" s="2051"/>
      <c r="I72" s="2053"/>
      <c r="J72" s="2056"/>
      <c r="K72" s="2040"/>
      <c r="L72" s="1182"/>
      <c r="M72" s="1182"/>
      <c r="N72" s="1182"/>
      <c r="O72" s="1182"/>
      <c r="P72" s="1182"/>
      <c r="Q72" s="1182"/>
      <c r="R72" s="1182"/>
      <c r="S72" s="255"/>
      <c r="T72" s="255"/>
      <c r="U72" s="255"/>
      <c r="V72" s="255"/>
      <c r="W72" s="1183"/>
      <c r="X72" s="1142"/>
      <c r="Y72" s="1142"/>
      <c r="Z72" s="1142"/>
      <c r="AA72" s="1142"/>
      <c r="AB72" s="1142"/>
      <c r="AC72" s="194"/>
      <c r="AD72" s="194"/>
      <c r="AE72" s="194"/>
      <c r="AF72" s="194"/>
      <c r="AG72" s="194"/>
      <c r="AH72" s="194"/>
      <c r="AI72" s="194"/>
      <c r="AJ72" s="194"/>
      <c r="AK72" s="194"/>
      <c r="AL72" s="194"/>
      <c r="AM72" s="194"/>
      <c r="AN72" s="194"/>
      <c r="AO72" s="194"/>
      <c r="AP72" s="194"/>
      <c r="AQ72" s="194"/>
    </row>
    <row r="73" spans="1:43" s="1950" customFormat="1" ht="17.25" hidden="1" customHeight="1">
      <c r="A73" s="246"/>
      <c r="C73" s="245"/>
      <c r="D73" s="2042"/>
      <c r="E73" s="2044"/>
      <c r="F73" s="2047"/>
      <c r="G73" s="2049"/>
      <c r="H73" s="1185"/>
      <c r="I73" s="1186"/>
      <c r="J73" s="1186"/>
      <c r="K73" s="1186"/>
      <c r="L73" s="1186"/>
      <c r="M73" s="1186"/>
      <c r="N73" s="1186"/>
      <c r="O73" s="1186"/>
      <c r="P73" s="1186"/>
      <c r="Q73" s="1186"/>
      <c r="R73" s="1186"/>
      <c r="S73" s="1187"/>
      <c r="T73" s="1187"/>
      <c r="U73" s="1187"/>
      <c r="V73" s="1187"/>
      <c r="W73" s="1188"/>
      <c r="X73" s="1142"/>
      <c r="Y73" s="1142"/>
      <c r="Z73" s="1142"/>
      <c r="AA73" s="1142"/>
      <c r="AB73" s="1142"/>
      <c r="AC73" s="194"/>
      <c r="AD73" s="194"/>
      <c r="AE73" s="194"/>
      <c r="AF73" s="194"/>
      <c r="AG73" s="194"/>
      <c r="AH73" s="194"/>
      <c r="AI73" s="194"/>
      <c r="AJ73" s="194"/>
      <c r="AK73" s="194"/>
      <c r="AL73" s="194"/>
      <c r="AM73" s="194"/>
      <c r="AN73" s="194"/>
      <c r="AO73" s="194"/>
      <c r="AP73" s="194"/>
      <c r="AQ73" s="194"/>
    </row>
    <row r="74" spans="1:43" s="1950" customFormat="1" ht="17.25" hidden="1" customHeight="1">
      <c r="A74" s="246"/>
      <c r="C74" s="131"/>
      <c r="D74" s="2041">
        <v>3</v>
      </c>
      <c r="E74" s="2043" t="s">
        <v>226</v>
      </c>
      <c r="F74" s="2045" t="s">
        <v>56</v>
      </c>
      <c r="G74" s="2048"/>
      <c r="H74" s="2050"/>
      <c r="I74" s="2052"/>
      <c r="J74" s="2054"/>
      <c r="K74" s="2039"/>
      <c r="L74" s="2039"/>
      <c r="M74" s="2039"/>
      <c r="N74" s="2057"/>
      <c r="O74" s="2039"/>
      <c r="P74" s="2039"/>
      <c r="Q74" s="2039"/>
      <c r="R74" s="2060"/>
      <c r="S74" s="2039"/>
      <c r="T74" s="1309"/>
      <c r="U74" s="1309"/>
      <c r="V74" s="1311"/>
      <c r="W74" s="1181"/>
      <c r="X74" s="1149"/>
      <c r="Y74" s="1149"/>
      <c r="Z74" s="1149"/>
      <c r="AA74" s="1149"/>
      <c r="AB74" s="1149"/>
      <c r="AC74" s="1228" t="s">
        <v>227</v>
      </c>
      <c r="AD74" s="1228" t="s">
        <v>228</v>
      </c>
      <c r="AE74" s="1228" t="s">
        <v>229</v>
      </c>
      <c r="AF74" s="1228" t="s">
        <v>230</v>
      </c>
      <c r="AG74" s="1228"/>
      <c r="AH74" s="1228" t="str">
        <f>IF($E$74=0,"",$E$74)</f>
        <v>Тариф на транспортировку воды</v>
      </c>
      <c r="AI74" s="1228" t="str">
        <f>IF($G$74=0,"",$G$74)</f>
        <v/>
      </c>
      <c r="AJ74" s="1228" t="str">
        <f>IF($J$74=0,"",$J$74)</f>
        <v/>
      </c>
      <c r="AK74" s="1228" t="str">
        <f>IF($K$74="нет","без дифференциации",IF($N$74=0,"",$N$74))</f>
        <v/>
      </c>
      <c r="AL74" s="1228" t="str">
        <f>IF($O$74="нет","без дифференциации",IF($R$74=0,"",$R$74))</f>
        <v/>
      </c>
      <c r="AM74" s="1228" t="str">
        <f>IF($S$74="нет","без дифференциации",IF($V$74=0,"",$V$74))</f>
        <v/>
      </c>
      <c r="AN74" s="1381">
        <f>$I$74</f>
        <v>0</v>
      </c>
      <c r="AO74" s="1228" t="str">
        <f>$I$74&amp;"."&amp;$M$74</f>
        <v>.</v>
      </c>
      <c r="AP74" s="194" t="str">
        <f>$I$74&amp;"."&amp;$M$74&amp;"."&amp;$Q$74</f>
        <v>..</v>
      </c>
      <c r="AQ74" s="194" t="str">
        <f>$I$74&amp;"."&amp;$M$74&amp;"."&amp;$Q$74&amp;"."&amp;$U$74</f>
        <v>...</v>
      </c>
    </row>
    <row r="75" spans="1:43" s="1950" customFormat="1" ht="17.25" hidden="1" customHeight="1">
      <c r="A75" s="246"/>
      <c r="C75" s="245"/>
      <c r="D75" s="2041"/>
      <c r="E75" s="2043"/>
      <c r="F75" s="2046"/>
      <c r="G75" s="2048"/>
      <c r="H75" s="2051"/>
      <c r="I75" s="2053"/>
      <c r="J75" s="2055"/>
      <c r="K75" s="2040"/>
      <c r="L75" s="2040"/>
      <c r="M75" s="2040"/>
      <c r="N75" s="2058"/>
      <c r="O75" s="2040"/>
      <c r="P75" s="2040"/>
      <c r="Q75" s="2040"/>
      <c r="R75" s="2059"/>
      <c r="S75" s="2040"/>
      <c r="T75" s="1182"/>
      <c r="U75" s="1182"/>
      <c r="V75" s="1182"/>
      <c r="W75" s="1183"/>
      <c r="X75" s="1142"/>
      <c r="Y75" s="1142"/>
      <c r="Z75" s="1142"/>
      <c r="AA75" s="1142"/>
      <c r="AB75" s="1142"/>
      <c r="AC75" s="194"/>
      <c r="AD75" s="194"/>
      <c r="AE75" s="194"/>
      <c r="AF75" s="194"/>
      <c r="AG75" s="194"/>
      <c r="AH75" s="194"/>
      <c r="AI75" s="194"/>
      <c r="AJ75" s="194"/>
      <c r="AK75" s="194"/>
      <c r="AL75" s="194"/>
      <c r="AM75" s="194"/>
      <c r="AN75" s="194"/>
      <c r="AO75" s="194"/>
      <c r="AP75" s="194"/>
      <c r="AQ75" s="194"/>
    </row>
    <row r="76" spans="1:43" s="1950" customFormat="1" ht="17.25" hidden="1" customHeight="1">
      <c r="A76" s="246"/>
      <c r="C76" s="245"/>
      <c r="D76" s="2042"/>
      <c r="E76" s="2044"/>
      <c r="F76" s="2046"/>
      <c r="G76" s="2049"/>
      <c r="H76" s="2051"/>
      <c r="I76" s="2053"/>
      <c r="J76" s="2056"/>
      <c r="K76" s="2040"/>
      <c r="L76" s="2040"/>
      <c r="M76" s="2040"/>
      <c r="N76" s="2059"/>
      <c r="O76" s="2040"/>
      <c r="P76" s="1310"/>
      <c r="Q76" s="1182"/>
      <c r="R76" s="1182"/>
      <c r="S76" s="255"/>
      <c r="T76" s="255"/>
      <c r="U76" s="255"/>
      <c r="V76" s="255"/>
      <c r="W76" s="1183"/>
      <c r="X76" s="1142"/>
      <c r="Y76" s="1142"/>
      <c r="Z76" s="1142"/>
      <c r="AA76" s="1142"/>
      <c r="AB76" s="1142"/>
      <c r="AC76" s="194"/>
      <c r="AD76" s="194"/>
      <c r="AE76" s="194"/>
      <c r="AF76" s="194"/>
      <c r="AG76" s="194"/>
      <c r="AH76" s="194"/>
      <c r="AI76" s="194"/>
      <c r="AJ76" s="194"/>
      <c r="AK76" s="194"/>
      <c r="AL76" s="194"/>
      <c r="AM76" s="194"/>
      <c r="AN76" s="194"/>
      <c r="AO76" s="194"/>
      <c r="AP76" s="194"/>
      <c r="AQ76" s="194"/>
    </row>
    <row r="77" spans="1:43" s="1950" customFormat="1" ht="17.25" hidden="1" customHeight="1">
      <c r="A77" s="246"/>
      <c r="C77" s="245"/>
      <c r="D77" s="2042"/>
      <c r="E77" s="2044"/>
      <c r="F77" s="2046"/>
      <c r="G77" s="2049"/>
      <c r="H77" s="2051"/>
      <c r="I77" s="2053"/>
      <c r="J77" s="2056"/>
      <c r="K77" s="2040"/>
      <c r="L77" s="1182"/>
      <c r="M77" s="1182"/>
      <c r="N77" s="1182"/>
      <c r="O77" s="1182"/>
      <c r="P77" s="1182"/>
      <c r="Q77" s="1182"/>
      <c r="R77" s="1182"/>
      <c r="S77" s="255"/>
      <c r="T77" s="255"/>
      <c r="U77" s="255"/>
      <c r="V77" s="255"/>
      <c r="W77" s="1183"/>
      <c r="X77" s="1142"/>
      <c r="Y77" s="1142"/>
      <c r="Z77" s="1142"/>
      <c r="AA77" s="1142"/>
      <c r="AB77" s="1142"/>
      <c r="AC77" s="194"/>
      <c r="AD77" s="194"/>
      <c r="AE77" s="194"/>
      <c r="AF77" s="194"/>
      <c r="AG77" s="194"/>
      <c r="AH77" s="194"/>
      <c r="AI77" s="194"/>
      <c r="AJ77" s="194"/>
      <c r="AK77" s="194"/>
      <c r="AL77" s="194"/>
      <c r="AM77" s="194"/>
      <c r="AN77" s="194"/>
      <c r="AO77" s="194"/>
      <c r="AP77" s="194"/>
      <c r="AQ77" s="194"/>
    </row>
    <row r="78" spans="1:43" s="1950" customFormat="1" ht="17.25" hidden="1" customHeight="1">
      <c r="A78" s="246"/>
      <c r="C78" s="245"/>
      <c r="D78" s="2042"/>
      <c r="E78" s="2044"/>
      <c r="F78" s="2047"/>
      <c r="G78" s="2049"/>
      <c r="H78" s="1185"/>
      <c r="I78" s="1186"/>
      <c r="J78" s="1186"/>
      <c r="K78" s="1186"/>
      <c r="L78" s="1186"/>
      <c r="M78" s="1186"/>
      <c r="N78" s="1186"/>
      <c r="O78" s="1186"/>
      <c r="P78" s="1186"/>
      <c r="Q78" s="1186"/>
      <c r="R78" s="1186"/>
      <c r="S78" s="1187"/>
      <c r="T78" s="1187"/>
      <c r="U78" s="1187"/>
      <c r="V78" s="1187"/>
      <c r="W78" s="1188"/>
      <c r="X78" s="1142"/>
      <c r="Y78" s="1142"/>
      <c r="Z78" s="1142"/>
      <c r="AA78" s="1142"/>
      <c r="AB78" s="1142"/>
      <c r="AC78" s="194"/>
      <c r="AD78" s="194"/>
      <c r="AE78" s="194"/>
      <c r="AF78" s="194"/>
      <c r="AG78" s="194"/>
      <c r="AH78" s="194"/>
      <c r="AI78" s="194"/>
      <c r="AJ78" s="194"/>
      <c r="AK78" s="194"/>
      <c r="AL78" s="194"/>
      <c r="AM78" s="194"/>
      <c r="AN78" s="194"/>
      <c r="AO78" s="194"/>
      <c r="AP78" s="194"/>
      <c r="AQ78" s="194"/>
    </row>
    <row r="79" spans="1:43" s="1950" customFormat="1" ht="17.25" hidden="1" customHeight="1">
      <c r="A79" s="246"/>
      <c r="C79" s="131"/>
      <c r="D79" s="2041">
        <v>4</v>
      </c>
      <c r="E79" s="2043" t="s">
        <v>231</v>
      </c>
      <c r="F79" s="2045" t="s">
        <v>56</v>
      </c>
      <c r="G79" s="2048"/>
      <c r="H79" s="2050"/>
      <c r="I79" s="2052"/>
      <c r="J79" s="2054"/>
      <c r="K79" s="2039"/>
      <c r="L79" s="2039"/>
      <c r="M79" s="2039"/>
      <c r="N79" s="2057"/>
      <c r="O79" s="2039"/>
      <c r="P79" s="2039"/>
      <c r="Q79" s="2039"/>
      <c r="R79" s="2060"/>
      <c r="S79" s="2039"/>
      <c r="T79" s="1309"/>
      <c r="U79" s="1309"/>
      <c r="V79" s="1311"/>
      <c r="W79" s="1181"/>
      <c r="X79" s="1149"/>
      <c r="Y79" s="1149"/>
      <c r="Z79" s="1149"/>
      <c r="AA79" s="1149"/>
      <c r="AB79" s="1149"/>
      <c r="AC79" s="1228" t="s">
        <v>232</v>
      </c>
      <c r="AD79" s="1228" t="s">
        <v>233</v>
      </c>
      <c r="AE79" s="1228" t="s">
        <v>234</v>
      </c>
      <c r="AF79" s="1228" t="s">
        <v>235</v>
      </c>
      <c r="AG79" s="1228"/>
      <c r="AH79" s="1228" t="str">
        <f>IF($E$79=0,"",$E$79)</f>
        <v>Тариф на подвоз воды</v>
      </c>
      <c r="AI79" s="1228" t="str">
        <f>IF($G$79=0,"",$G$79)</f>
        <v/>
      </c>
      <c r="AJ79" s="1228" t="str">
        <f>IF($J$79=0,"",$J$79)</f>
        <v/>
      </c>
      <c r="AK79" s="1228" t="str">
        <f>IF($K$79="нет","без дифференциации",IF($N$79=0,"",$N$79))</f>
        <v/>
      </c>
      <c r="AL79" s="1228" t="str">
        <f>IF($O$79="нет","без дифференциации",IF($R$79=0,"",$R$79))</f>
        <v/>
      </c>
      <c r="AM79" s="1228" t="str">
        <f>IF($S$79="нет","без дифференциации",IF($V$79=0,"",$V$79))</f>
        <v/>
      </c>
      <c r="AN79" s="1381">
        <f>$I$79</f>
        <v>0</v>
      </c>
      <c r="AO79" s="1228" t="str">
        <f>$I$79&amp;"."&amp;$M$79</f>
        <v>.</v>
      </c>
      <c r="AP79" s="194" t="str">
        <f>$I$79&amp;"."&amp;$M$79&amp;"."&amp;$Q$79</f>
        <v>..</v>
      </c>
      <c r="AQ79" s="194" t="str">
        <f>$I$79&amp;"."&amp;$M$79&amp;"."&amp;$Q$79&amp;"."&amp;$U$79</f>
        <v>...</v>
      </c>
    </row>
    <row r="80" spans="1:43" s="1950" customFormat="1" ht="17.25" hidden="1" customHeight="1">
      <c r="A80" s="246"/>
      <c r="C80" s="245"/>
      <c r="D80" s="2041"/>
      <c r="E80" s="2043"/>
      <c r="F80" s="2046"/>
      <c r="G80" s="2048"/>
      <c r="H80" s="2051"/>
      <c r="I80" s="2053"/>
      <c r="J80" s="2055"/>
      <c r="K80" s="2040"/>
      <c r="L80" s="2040"/>
      <c r="M80" s="2040"/>
      <c r="N80" s="2058"/>
      <c r="O80" s="2040"/>
      <c r="P80" s="2040"/>
      <c r="Q80" s="2040"/>
      <c r="R80" s="2059"/>
      <c r="S80" s="2040"/>
      <c r="T80" s="1182"/>
      <c r="U80" s="1182"/>
      <c r="V80" s="1182"/>
      <c r="W80" s="1183"/>
      <c r="X80" s="1142"/>
      <c r="Y80" s="1142"/>
      <c r="Z80" s="1142"/>
      <c r="AA80" s="1142"/>
      <c r="AB80" s="1142"/>
      <c r="AC80" s="194"/>
      <c r="AD80" s="194"/>
      <c r="AE80" s="194"/>
      <c r="AF80" s="194"/>
      <c r="AG80" s="194"/>
      <c r="AH80" s="194"/>
      <c r="AI80" s="194"/>
      <c r="AJ80" s="194"/>
      <c r="AK80" s="194"/>
      <c r="AL80" s="194"/>
      <c r="AM80" s="194"/>
      <c r="AN80" s="194"/>
      <c r="AO80" s="194"/>
      <c r="AP80" s="194"/>
      <c r="AQ80" s="194"/>
    </row>
    <row r="81" spans="1:43" s="1950" customFormat="1" ht="17.25" hidden="1" customHeight="1">
      <c r="A81" s="246"/>
      <c r="C81" s="245"/>
      <c r="D81" s="2042"/>
      <c r="E81" s="2044"/>
      <c r="F81" s="2046"/>
      <c r="G81" s="2049"/>
      <c r="H81" s="2051"/>
      <c r="I81" s="2053"/>
      <c r="J81" s="2056"/>
      <c r="K81" s="2040"/>
      <c r="L81" s="2040"/>
      <c r="M81" s="2040"/>
      <c r="N81" s="2059"/>
      <c r="O81" s="2040"/>
      <c r="P81" s="1310"/>
      <c r="Q81" s="1182"/>
      <c r="R81" s="1182"/>
      <c r="S81" s="255"/>
      <c r="T81" s="255"/>
      <c r="U81" s="255"/>
      <c r="V81" s="255"/>
      <c r="W81" s="1183"/>
      <c r="X81" s="1142"/>
      <c r="Y81" s="1142"/>
      <c r="Z81" s="1142"/>
      <c r="AA81" s="1142"/>
      <c r="AB81" s="1142"/>
      <c r="AC81" s="194"/>
      <c r="AD81" s="194"/>
      <c r="AE81" s="194"/>
      <c r="AF81" s="194"/>
      <c r="AG81" s="194"/>
      <c r="AH81" s="194"/>
      <c r="AI81" s="194"/>
      <c r="AJ81" s="194"/>
      <c r="AK81" s="194"/>
      <c r="AL81" s="194"/>
      <c r="AM81" s="194"/>
      <c r="AN81" s="194"/>
      <c r="AO81" s="194"/>
      <c r="AP81" s="194"/>
      <c r="AQ81" s="194"/>
    </row>
    <row r="82" spans="1:43" s="1950" customFormat="1" ht="17.25" hidden="1" customHeight="1">
      <c r="A82" s="246"/>
      <c r="C82" s="245"/>
      <c r="D82" s="2042"/>
      <c r="E82" s="2044"/>
      <c r="F82" s="2046"/>
      <c r="G82" s="2049"/>
      <c r="H82" s="2051"/>
      <c r="I82" s="2053"/>
      <c r="J82" s="2056"/>
      <c r="K82" s="2040"/>
      <c r="L82" s="1182"/>
      <c r="M82" s="1182"/>
      <c r="N82" s="1182"/>
      <c r="O82" s="1182"/>
      <c r="P82" s="1182"/>
      <c r="Q82" s="1182"/>
      <c r="R82" s="1182"/>
      <c r="S82" s="255"/>
      <c r="T82" s="255"/>
      <c r="U82" s="255"/>
      <c r="V82" s="255"/>
      <c r="W82" s="1183"/>
      <c r="X82" s="1142"/>
      <c r="Y82" s="1142"/>
      <c r="Z82" s="1142"/>
      <c r="AA82" s="1142"/>
      <c r="AB82" s="1142"/>
      <c r="AC82" s="194"/>
      <c r="AD82" s="194"/>
      <c r="AE82" s="194"/>
      <c r="AF82" s="194"/>
      <c r="AG82" s="194"/>
      <c r="AH82" s="194"/>
      <c r="AI82" s="194"/>
      <c r="AJ82" s="194"/>
      <c r="AK82" s="194"/>
      <c r="AL82" s="194"/>
      <c r="AM82" s="194"/>
      <c r="AN82" s="194"/>
      <c r="AO82" s="194"/>
      <c r="AP82" s="194"/>
      <c r="AQ82" s="194"/>
    </row>
    <row r="83" spans="1:43" s="1950" customFormat="1" ht="17.25" hidden="1" customHeight="1">
      <c r="A83" s="246"/>
      <c r="C83" s="245"/>
      <c r="D83" s="2042"/>
      <c r="E83" s="2044"/>
      <c r="F83" s="2047"/>
      <c r="G83" s="2049"/>
      <c r="H83" s="1185"/>
      <c r="I83" s="1186"/>
      <c r="J83" s="1186"/>
      <c r="K83" s="1186"/>
      <c r="L83" s="1186"/>
      <c r="M83" s="1186"/>
      <c r="N83" s="1186"/>
      <c r="O83" s="1186"/>
      <c r="P83" s="1186"/>
      <c r="Q83" s="1186"/>
      <c r="R83" s="1186"/>
      <c r="S83" s="1187"/>
      <c r="T83" s="1187"/>
      <c r="U83" s="1187"/>
      <c r="V83" s="1187"/>
      <c r="W83" s="1188"/>
      <c r="X83" s="1142"/>
      <c r="Y83" s="1142"/>
      <c r="Z83" s="1142"/>
      <c r="AA83" s="1142"/>
      <c r="AB83" s="1142"/>
      <c r="AC83" s="194"/>
      <c r="AD83" s="194"/>
      <c r="AE83" s="194"/>
      <c r="AF83" s="194"/>
      <c r="AG83" s="194"/>
      <c r="AH83" s="194"/>
      <c r="AI83" s="194"/>
      <c r="AJ83" s="194"/>
      <c r="AK83" s="194"/>
      <c r="AL83" s="194"/>
      <c r="AM83" s="194"/>
      <c r="AN83" s="194"/>
      <c r="AO83" s="194"/>
      <c r="AP83" s="194"/>
      <c r="AQ83" s="194"/>
    </row>
    <row r="84" spans="1:43" s="1950" customFormat="1" ht="17.25" hidden="1" customHeight="1">
      <c r="A84" s="246"/>
      <c r="C84" s="131"/>
      <c r="D84" s="2041">
        <v>5</v>
      </c>
      <c r="E84" s="2043" t="s">
        <v>236</v>
      </c>
      <c r="F84" s="2045" t="s">
        <v>56</v>
      </c>
      <c r="G84" s="2048"/>
      <c r="H84" s="2050"/>
      <c r="I84" s="2052"/>
      <c r="J84" s="2054"/>
      <c r="K84" s="2039"/>
      <c r="L84" s="2039"/>
      <c r="M84" s="2039"/>
      <c r="N84" s="2057"/>
      <c r="O84" s="2039"/>
      <c r="P84" s="2039"/>
      <c r="Q84" s="2039"/>
      <c r="R84" s="2060"/>
      <c r="S84" s="2039"/>
      <c r="T84" s="1333"/>
      <c r="U84" s="1333"/>
      <c r="V84" s="1335"/>
      <c r="W84" s="1181"/>
      <c r="X84" s="1149"/>
      <c r="Y84" s="1149"/>
      <c r="Z84" s="1149"/>
      <c r="AA84" s="1149"/>
      <c r="AB84" s="1149"/>
      <c r="AC84" s="1228" t="s">
        <v>237</v>
      </c>
      <c r="AD84" s="1228" t="s">
        <v>238</v>
      </c>
      <c r="AE84" s="1228" t="s">
        <v>239</v>
      </c>
      <c r="AF84" s="1228" t="s">
        <v>240</v>
      </c>
      <c r="AG84" s="1228"/>
      <c r="AH84" s="1228" t="str">
        <f>IF($E$84=0,"",$E$84)</f>
        <v>Тариф на подключение (технологическое присоединение) к централизованной системе холодного водоснабжения</v>
      </c>
      <c r="AI84" s="1228" t="str">
        <f>IF($G$84=0,"",$G$84)</f>
        <v/>
      </c>
      <c r="AJ84" s="1228" t="str">
        <f>IF($J$84=0,"",$J$84)</f>
        <v/>
      </c>
      <c r="AK84" s="1228" t="str">
        <f>IF($K$84="нет","без дифференциации",IF($N$84=0,"",$N$84))</f>
        <v/>
      </c>
      <c r="AL84" s="1228" t="str">
        <f>IF($O$84="нет","без дифференциации",IF($R$84=0,"",$R$84))</f>
        <v/>
      </c>
      <c r="AM84" s="1228" t="str">
        <f>IF($S$84="нет","без дифференциации",IF($V$84=0,"",$V$84))</f>
        <v/>
      </c>
      <c r="AN84" s="1381">
        <f>$I$84</f>
        <v>0</v>
      </c>
      <c r="AO84" s="1228" t="str">
        <f>$I$84&amp;"."&amp;$M$84</f>
        <v>.</v>
      </c>
      <c r="AP84" s="194" t="str">
        <f>$I$84&amp;"."&amp;$M$84&amp;"."&amp;$Q$84</f>
        <v>..</v>
      </c>
      <c r="AQ84" s="194" t="str">
        <f>$I$84&amp;"."&amp;$M$84&amp;"."&amp;$Q$84&amp;"."&amp;$U$84</f>
        <v>...</v>
      </c>
    </row>
    <row r="85" spans="1:43" s="1950" customFormat="1" ht="17.25" hidden="1" customHeight="1">
      <c r="A85" s="246"/>
      <c r="C85" s="245"/>
      <c r="D85" s="2041"/>
      <c r="E85" s="2043"/>
      <c r="F85" s="2046"/>
      <c r="G85" s="2048"/>
      <c r="H85" s="2051"/>
      <c r="I85" s="2053"/>
      <c r="J85" s="2055"/>
      <c r="K85" s="2040"/>
      <c r="L85" s="2040"/>
      <c r="M85" s="2040"/>
      <c r="N85" s="2058"/>
      <c r="O85" s="2040"/>
      <c r="P85" s="2040"/>
      <c r="Q85" s="2040"/>
      <c r="R85" s="2059"/>
      <c r="S85" s="2040"/>
      <c r="T85" s="1182"/>
      <c r="U85" s="1182"/>
      <c r="V85" s="1182"/>
      <c r="W85" s="1183"/>
      <c r="X85" s="1142"/>
      <c r="Y85" s="1142"/>
      <c r="Z85" s="1142"/>
      <c r="AA85" s="1142"/>
      <c r="AB85" s="1142"/>
      <c r="AC85" s="194"/>
      <c r="AD85" s="194"/>
      <c r="AE85" s="194"/>
      <c r="AF85" s="194"/>
      <c r="AG85" s="194"/>
      <c r="AH85" s="194"/>
      <c r="AI85" s="194"/>
      <c r="AJ85" s="194"/>
      <c r="AK85" s="194"/>
      <c r="AL85" s="194"/>
      <c r="AM85" s="194"/>
      <c r="AN85" s="194"/>
      <c r="AO85" s="194"/>
      <c r="AP85" s="194"/>
      <c r="AQ85" s="194"/>
    </row>
    <row r="86" spans="1:43" s="1950" customFormat="1" ht="17.25" hidden="1" customHeight="1">
      <c r="A86" s="246"/>
      <c r="C86" s="245"/>
      <c r="D86" s="2042"/>
      <c r="E86" s="2044"/>
      <c r="F86" s="2046"/>
      <c r="G86" s="2049"/>
      <c r="H86" s="2051"/>
      <c r="I86" s="2053"/>
      <c r="J86" s="2056"/>
      <c r="K86" s="2040"/>
      <c r="L86" s="2040"/>
      <c r="M86" s="2040"/>
      <c r="N86" s="2059"/>
      <c r="O86" s="2040"/>
      <c r="P86" s="1334"/>
      <c r="Q86" s="1182"/>
      <c r="R86" s="1182"/>
      <c r="S86" s="255"/>
      <c r="T86" s="255"/>
      <c r="U86" s="255"/>
      <c r="V86" s="255"/>
      <c r="W86" s="1183"/>
      <c r="X86" s="1142"/>
      <c r="Y86" s="1142"/>
      <c r="Z86" s="1142"/>
      <c r="AA86" s="1142"/>
      <c r="AB86" s="1142"/>
      <c r="AC86" s="194"/>
      <c r="AD86" s="194"/>
      <c r="AE86" s="194"/>
      <c r="AF86" s="194"/>
      <c r="AG86" s="194"/>
      <c r="AH86" s="194"/>
      <c r="AI86" s="194"/>
      <c r="AJ86" s="194"/>
      <c r="AK86" s="194"/>
      <c r="AL86" s="194"/>
      <c r="AM86" s="194"/>
      <c r="AN86" s="194"/>
      <c r="AO86" s="194"/>
      <c r="AP86" s="194"/>
      <c r="AQ86" s="194"/>
    </row>
    <row r="87" spans="1:43" s="1950" customFormat="1" ht="17.25" hidden="1" customHeight="1">
      <c r="A87" s="246"/>
      <c r="C87" s="245"/>
      <c r="D87" s="2042"/>
      <c r="E87" s="2044"/>
      <c r="F87" s="2046"/>
      <c r="G87" s="2049"/>
      <c r="H87" s="2051"/>
      <c r="I87" s="2053"/>
      <c r="J87" s="2056"/>
      <c r="K87" s="2040"/>
      <c r="L87" s="1182"/>
      <c r="M87" s="1182"/>
      <c r="N87" s="1182"/>
      <c r="O87" s="1182"/>
      <c r="P87" s="1182"/>
      <c r="Q87" s="1182"/>
      <c r="R87" s="1182"/>
      <c r="S87" s="255"/>
      <c r="T87" s="255"/>
      <c r="U87" s="255"/>
      <c r="V87" s="255"/>
      <c r="W87" s="1183"/>
      <c r="X87" s="1142"/>
      <c r="Y87" s="1142"/>
      <c r="Z87" s="1142"/>
      <c r="AA87" s="1142"/>
      <c r="AB87" s="1142"/>
      <c r="AC87" s="194"/>
      <c r="AD87" s="194"/>
      <c r="AE87" s="194"/>
      <c r="AF87" s="194"/>
      <c r="AG87" s="194"/>
      <c r="AH87" s="194"/>
      <c r="AI87" s="194"/>
      <c r="AJ87" s="194"/>
      <c r="AK87" s="194"/>
      <c r="AL87" s="194"/>
      <c r="AM87" s="194"/>
      <c r="AN87" s="194"/>
      <c r="AO87" s="194"/>
      <c r="AP87" s="194"/>
      <c r="AQ87" s="194"/>
    </row>
    <row r="88" spans="1:43" s="1950" customFormat="1" ht="17.25" hidden="1" customHeight="1">
      <c r="A88" s="246"/>
      <c r="C88" s="245"/>
      <c r="D88" s="2042"/>
      <c r="E88" s="2044"/>
      <c r="F88" s="2047"/>
      <c r="G88" s="2049"/>
      <c r="H88" s="1185"/>
      <c r="I88" s="1186"/>
      <c r="J88" s="1186"/>
      <c r="K88" s="1186"/>
      <c r="L88" s="1186"/>
      <c r="M88" s="1186"/>
      <c r="N88" s="1186"/>
      <c r="O88" s="1186"/>
      <c r="P88" s="1186"/>
      <c r="Q88" s="1186"/>
      <c r="R88" s="1186"/>
      <c r="S88" s="1187"/>
      <c r="T88" s="1187"/>
      <c r="U88" s="1187"/>
      <c r="V88" s="1187"/>
      <c r="W88" s="1188"/>
      <c r="X88" s="1142"/>
      <c r="Y88" s="1142"/>
      <c r="Z88" s="1142"/>
      <c r="AA88" s="1142"/>
      <c r="AB88" s="1142"/>
      <c r="AC88" s="194"/>
      <c r="AD88" s="194"/>
      <c r="AE88" s="194"/>
      <c r="AF88" s="194"/>
      <c r="AG88" s="194"/>
      <c r="AH88" s="194"/>
      <c r="AI88" s="194"/>
      <c r="AJ88" s="194"/>
      <c r="AK88" s="194"/>
      <c r="AL88" s="194"/>
      <c r="AM88" s="194"/>
      <c r="AN88" s="194"/>
      <c r="AO88" s="194"/>
      <c r="AP88" s="194"/>
      <c r="AQ88" s="194"/>
    </row>
    <row r="89" spans="1:43" s="1950" customFormat="1" ht="11.25" hidden="1" customHeight="1">
      <c r="A89" s="194"/>
      <c r="B89" s="194"/>
      <c r="Y89" s="1142"/>
      <c r="Z89" s="1142"/>
      <c r="AA89" s="1142"/>
      <c r="AB89" s="1142"/>
      <c r="AC89" s="194"/>
      <c r="AD89" s="194"/>
      <c r="AE89" s="194"/>
      <c r="AF89" s="194"/>
      <c r="AG89" s="194"/>
      <c r="AH89" s="194"/>
      <c r="AI89" s="194"/>
      <c r="AJ89" s="194"/>
      <c r="AK89" s="194"/>
      <c r="AL89" s="194"/>
      <c r="AM89" s="194"/>
      <c r="AN89" s="194"/>
      <c r="AO89" s="194"/>
      <c r="AP89" s="194"/>
      <c r="AQ89" s="194"/>
    </row>
    <row r="90" spans="1:43" s="1950" customFormat="1" ht="17.25" hidden="1" customHeight="1">
      <c r="A90" s="246"/>
      <c r="C90" s="131"/>
      <c r="D90" s="2041">
        <v>1</v>
      </c>
      <c r="E90" s="2043" t="s">
        <v>241</v>
      </c>
      <c r="F90" s="2045" t="s">
        <v>56</v>
      </c>
      <c r="G90" s="2048"/>
      <c r="H90" s="2050"/>
      <c r="I90" s="2052"/>
      <c r="J90" s="2054"/>
      <c r="K90" s="2039"/>
      <c r="L90" s="2039"/>
      <c r="M90" s="2039"/>
      <c r="N90" s="2057"/>
      <c r="O90" s="2039"/>
      <c r="P90" s="2039"/>
      <c r="Q90" s="2039"/>
      <c r="R90" s="2060"/>
      <c r="S90" s="2039"/>
      <c r="T90" s="1333"/>
      <c r="U90" s="1333"/>
      <c r="V90" s="1335"/>
      <c r="W90" s="1181"/>
      <c r="Y90" s="1149"/>
      <c r="Z90" s="1149"/>
      <c r="AA90" s="1149"/>
      <c r="AB90" s="1149"/>
      <c r="AC90" s="1228" t="s">
        <v>242</v>
      </c>
      <c r="AD90" s="1228" t="s">
        <v>243</v>
      </c>
      <c r="AE90" s="1228" t="s">
        <v>244</v>
      </c>
      <c r="AF90" s="1228" t="s">
        <v>245</v>
      </c>
      <c r="AG90" s="1228"/>
      <c r="AH90" s="1228" t="str">
        <f>IF($E$90=0,"",$E$90)</f>
        <v>Тариф на горячую воду (горячее водоснабжение)</v>
      </c>
      <c r="AI90" s="1228" t="str">
        <f>IF($G$90=0,"",$G$90)</f>
        <v/>
      </c>
      <c r="AJ90" s="1228" t="str">
        <f>IF($J$90=0,"",$J$90)</f>
        <v/>
      </c>
      <c r="AK90" s="1228" t="str">
        <f>IF($K$90="нет","без дифференциации",IF($N$90=0,"",$N$90))</f>
        <v/>
      </c>
      <c r="AL90" s="1228" t="str">
        <f>IF($O$90="нет","без дифференциации",IF($R$90=0,"",$R$90))</f>
        <v/>
      </c>
      <c r="AM90" s="1228" t="str">
        <f>IF($S$90="нет","без дифференциации",IF($V$90=0,"",$V$90))</f>
        <v/>
      </c>
      <c r="AN90" s="1228">
        <f>$I$90</f>
        <v>0</v>
      </c>
      <c r="AO90" s="1228" t="str">
        <f>$I$90&amp;"."&amp;$M$90</f>
        <v>.</v>
      </c>
      <c r="AP90" s="1228" t="str">
        <f>$I$90&amp;"."&amp;$M$90&amp;"."&amp;$Q$90</f>
        <v>..</v>
      </c>
      <c r="AQ90" s="1228" t="str">
        <f>$I$90&amp;"."&amp;$M$90&amp;"."&amp;$Q$90&amp;"."&amp;$U$90</f>
        <v>...</v>
      </c>
    </row>
    <row r="91" spans="1:43" s="1950" customFormat="1" ht="17.25" hidden="1" customHeight="1">
      <c r="A91" s="246"/>
      <c r="C91" s="245"/>
      <c r="D91" s="2041"/>
      <c r="E91" s="2043"/>
      <c r="F91" s="2046"/>
      <c r="G91" s="2048"/>
      <c r="H91" s="2051"/>
      <c r="I91" s="2053"/>
      <c r="J91" s="2055"/>
      <c r="K91" s="2040"/>
      <c r="L91" s="2040"/>
      <c r="M91" s="2040"/>
      <c r="N91" s="2058"/>
      <c r="O91" s="2040"/>
      <c r="P91" s="2040"/>
      <c r="Q91" s="2040"/>
      <c r="R91" s="2059"/>
      <c r="S91" s="2040"/>
      <c r="T91" s="1182"/>
      <c r="U91" s="1182"/>
      <c r="V91" s="1182"/>
      <c r="W91" s="1183"/>
      <c r="Y91" s="1142"/>
      <c r="Z91" s="1142"/>
      <c r="AA91" s="1142"/>
      <c r="AB91" s="1142"/>
      <c r="AC91" s="194"/>
      <c r="AD91" s="194"/>
      <c r="AE91" s="194"/>
      <c r="AF91" s="194"/>
      <c r="AG91" s="194"/>
      <c r="AH91" s="194"/>
      <c r="AI91" s="194"/>
      <c r="AJ91" s="194"/>
      <c r="AK91" s="194"/>
      <c r="AL91" s="194"/>
      <c r="AM91" s="194"/>
      <c r="AN91" s="194"/>
      <c r="AO91" s="194"/>
      <c r="AP91" s="194"/>
      <c r="AQ91" s="194"/>
    </row>
    <row r="92" spans="1:43" s="1950" customFormat="1" ht="17.25" hidden="1" customHeight="1">
      <c r="A92" s="246"/>
      <c r="C92" s="131"/>
      <c r="D92" s="2041"/>
      <c r="E92" s="2043"/>
      <c r="F92" s="2046"/>
      <c r="G92" s="2048"/>
      <c r="H92" s="2051"/>
      <c r="I92" s="2053"/>
      <c r="J92" s="2056"/>
      <c r="K92" s="2040"/>
      <c r="L92" s="2040"/>
      <c r="M92" s="2040"/>
      <c r="N92" s="2059"/>
      <c r="O92" s="2040"/>
      <c r="P92" s="1334"/>
      <c r="Q92" s="1182"/>
      <c r="R92" s="1182"/>
      <c r="S92" s="255"/>
      <c r="T92" s="255"/>
      <c r="U92" s="255"/>
      <c r="V92" s="255"/>
      <c r="W92" s="1183"/>
      <c r="Y92" s="1149"/>
      <c r="Z92" s="1149"/>
      <c r="AA92" s="1149"/>
      <c r="AB92" s="1149"/>
      <c r="AC92" s="1228"/>
      <c r="AD92" s="1228"/>
      <c r="AE92" s="1228"/>
      <c r="AF92" s="1228"/>
      <c r="AG92" s="1228"/>
      <c r="AH92" s="1228"/>
      <c r="AI92" s="1228"/>
      <c r="AJ92" s="1228"/>
      <c r="AK92" s="1228"/>
      <c r="AL92" s="1228"/>
      <c r="AM92" s="1228"/>
      <c r="AN92" s="1228"/>
      <c r="AO92" s="1228"/>
      <c r="AP92" s="1228"/>
      <c r="AQ92" s="1228"/>
    </row>
    <row r="93" spans="1:43" s="1950" customFormat="1" ht="17.25" hidden="1" customHeight="1">
      <c r="A93" s="246"/>
      <c r="C93" s="245"/>
      <c r="D93" s="2041"/>
      <c r="E93" s="2043"/>
      <c r="F93" s="2046"/>
      <c r="G93" s="2048"/>
      <c r="H93" s="2051"/>
      <c r="I93" s="2053"/>
      <c r="J93" s="2056"/>
      <c r="K93" s="2040"/>
      <c r="L93" s="1182"/>
      <c r="M93" s="1182"/>
      <c r="N93" s="1182"/>
      <c r="O93" s="1182"/>
      <c r="P93" s="1182"/>
      <c r="Q93" s="1182"/>
      <c r="R93" s="1182"/>
      <c r="S93" s="255"/>
      <c r="T93" s="255"/>
      <c r="U93" s="255"/>
      <c r="V93" s="255"/>
      <c r="W93" s="1183"/>
      <c r="Y93" s="1142"/>
      <c r="Z93" s="1142"/>
      <c r="AA93" s="1142"/>
      <c r="AB93" s="1142"/>
      <c r="AC93" s="194"/>
      <c r="AD93" s="194"/>
      <c r="AE93" s="194"/>
      <c r="AF93" s="194"/>
      <c r="AG93" s="194"/>
      <c r="AH93" s="194"/>
      <c r="AI93" s="194"/>
      <c r="AJ93" s="194"/>
      <c r="AK93" s="194"/>
      <c r="AL93" s="194"/>
      <c r="AM93" s="194"/>
      <c r="AN93" s="194"/>
      <c r="AO93" s="194"/>
      <c r="AP93" s="194"/>
      <c r="AQ93" s="194"/>
    </row>
    <row r="94" spans="1:43" s="1950" customFormat="1" ht="17.25" hidden="1" customHeight="1">
      <c r="A94" s="246"/>
      <c r="C94" s="245"/>
      <c r="D94" s="2042"/>
      <c r="E94" s="2044"/>
      <c r="F94" s="2047"/>
      <c r="G94" s="2049"/>
      <c r="H94" s="1185"/>
      <c r="I94" s="1186"/>
      <c r="J94" s="1186"/>
      <c r="K94" s="1186"/>
      <c r="L94" s="1186"/>
      <c r="M94" s="1186"/>
      <c r="N94" s="1186"/>
      <c r="O94" s="1186"/>
      <c r="P94" s="1186"/>
      <c r="Q94" s="1186"/>
      <c r="R94" s="1186"/>
      <c r="S94" s="1187"/>
      <c r="T94" s="1187"/>
      <c r="U94" s="1187"/>
      <c r="V94" s="1187"/>
      <c r="W94" s="1188"/>
      <c r="Y94" s="1142"/>
      <c r="Z94" s="1142"/>
      <c r="AA94" s="1142"/>
      <c r="AB94" s="1142"/>
      <c r="AC94" s="194"/>
      <c r="AD94" s="194"/>
      <c r="AE94" s="194"/>
      <c r="AF94" s="194"/>
      <c r="AG94" s="194"/>
      <c r="AH94" s="194"/>
      <c r="AI94" s="194"/>
      <c r="AJ94" s="194"/>
      <c r="AK94" s="194"/>
      <c r="AL94" s="194"/>
      <c r="AM94" s="194"/>
      <c r="AN94" s="194"/>
      <c r="AO94" s="194"/>
      <c r="AP94" s="194"/>
      <c r="AQ94" s="194"/>
    </row>
    <row r="95" spans="1:43" s="1950" customFormat="1" ht="17.25" hidden="1" customHeight="1">
      <c r="A95" s="246"/>
      <c r="C95" s="131"/>
      <c r="D95" s="2041">
        <v>2</v>
      </c>
      <c r="E95" s="2043" t="s">
        <v>246</v>
      </c>
      <c r="F95" s="2045" t="s">
        <v>56</v>
      </c>
      <c r="G95" s="2048"/>
      <c r="H95" s="2050"/>
      <c r="I95" s="2052"/>
      <c r="J95" s="2054"/>
      <c r="K95" s="2039"/>
      <c r="L95" s="2039"/>
      <c r="M95" s="2039"/>
      <c r="N95" s="2057"/>
      <c r="O95" s="2039"/>
      <c r="P95" s="2039"/>
      <c r="Q95" s="2039"/>
      <c r="R95" s="2060"/>
      <c r="S95" s="2039"/>
      <c r="T95" s="1333"/>
      <c r="U95" s="1333"/>
      <c r="V95" s="1335"/>
      <c r="W95" s="1181"/>
      <c r="X95" s="1149"/>
      <c r="Y95" s="1149"/>
      <c r="Z95" s="1149"/>
      <c r="AA95" s="1149"/>
      <c r="AB95" s="1149"/>
      <c r="AC95" s="1228" t="s">
        <v>247</v>
      </c>
      <c r="AD95" s="1228" t="s">
        <v>248</v>
      </c>
      <c r="AE95" s="1228" t="s">
        <v>249</v>
      </c>
      <c r="AF95" s="1228" t="s">
        <v>250</v>
      </c>
      <c r="AG95" s="1228"/>
      <c r="AH95" s="1228" t="str">
        <f>IF($E$95=0,"",$E$95)</f>
        <v>Тариф на транспортировку горячей воды</v>
      </c>
      <c r="AI95" s="1228" t="str">
        <f>IF($G$95=0,"",$G$95)</f>
        <v/>
      </c>
      <c r="AJ95" s="1228" t="str">
        <f>IF($J$95=0,"",$J$95)</f>
        <v/>
      </c>
      <c r="AK95" s="1228" t="str">
        <f>IF($K$95="нет","без дифференциации",IF($N$95=0,"",$N$95))</f>
        <v/>
      </c>
      <c r="AL95" s="1228" t="str">
        <f>IF($O$95="нет","без дифференциации",IF($R$95=0,"",$R$95))</f>
        <v/>
      </c>
      <c r="AM95" s="1228" t="str">
        <f>IF($S$95="нет","без дифференциации",IF($V$95=0,"",$V$95))</f>
        <v/>
      </c>
      <c r="AN95" s="1381">
        <f>$I$95</f>
        <v>0</v>
      </c>
      <c r="AO95" s="1228" t="str">
        <f>$I$95&amp;"."&amp;$M$95</f>
        <v>.</v>
      </c>
      <c r="AP95" s="194" t="str">
        <f>$I$95&amp;"."&amp;$M$95&amp;"."&amp;$Q$95</f>
        <v>..</v>
      </c>
      <c r="AQ95" s="194" t="str">
        <f>$I$95&amp;"."&amp;$M$95&amp;"."&amp;$Q$95&amp;"."&amp;$U$95</f>
        <v>...</v>
      </c>
    </row>
    <row r="96" spans="1:43" s="1950" customFormat="1" ht="17.25" hidden="1" customHeight="1">
      <c r="A96" s="246"/>
      <c r="C96" s="245"/>
      <c r="D96" s="2041"/>
      <c r="E96" s="2043"/>
      <c r="F96" s="2046"/>
      <c r="G96" s="2048"/>
      <c r="H96" s="2051"/>
      <c r="I96" s="2053"/>
      <c r="J96" s="2055"/>
      <c r="K96" s="2040"/>
      <c r="L96" s="2040"/>
      <c r="M96" s="2040"/>
      <c r="N96" s="2058"/>
      <c r="O96" s="2040"/>
      <c r="P96" s="2040"/>
      <c r="Q96" s="2040"/>
      <c r="R96" s="2059"/>
      <c r="S96" s="2040"/>
      <c r="T96" s="1182"/>
      <c r="U96" s="1182"/>
      <c r="V96" s="1182"/>
      <c r="W96" s="1183"/>
      <c r="X96" s="1142"/>
      <c r="Y96" s="1142"/>
      <c r="Z96" s="1142"/>
      <c r="AA96" s="1142"/>
      <c r="AB96" s="1142"/>
      <c r="AC96" s="194"/>
      <c r="AD96" s="194"/>
      <c r="AE96" s="194"/>
      <c r="AF96" s="194"/>
      <c r="AG96" s="194"/>
      <c r="AH96" s="194"/>
      <c r="AI96" s="194"/>
      <c r="AJ96" s="194"/>
      <c r="AK96" s="194"/>
      <c r="AL96" s="194"/>
      <c r="AM96" s="194"/>
      <c r="AN96" s="194"/>
      <c r="AO96" s="194"/>
      <c r="AP96" s="194"/>
      <c r="AQ96" s="194"/>
    </row>
    <row r="97" spans="1:43" s="1950" customFormat="1" ht="17.25" hidden="1" customHeight="1">
      <c r="A97" s="246"/>
      <c r="C97" s="245"/>
      <c r="D97" s="2042"/>
      <c r="E97" s="2044"/>
      <c r="F97" s="2046"/>
      <c r="G97" s="2049"/>
      <c r="H97" s="2051"/>
      <c r="I97" s="2053"/>
      <c r="J97" s="2056"/>
      <c r="K97" s="2040"/>
      <c r="L97" s="2040"/>
      <c r="M97" s="2040"/>
      <c r="N97" s="2059"/>
      <c r="O97" s="2040"/>
      <c r="P97" s="1334"/>
      <c r="Q97" s="1182"/>
      <c r="R97" s="1182"/>
      <c r="S97" s="255"/>
      <c r="T97" s="255"/>
      <c r="U97" s="255"/>
      <c r="V97" s="255"/>
      <c r="W97" s="1183"/>
      <c r="X97" s="1142"/>
      <c r="Y97" s="1142"/>
      <c r="Z97" s="1142"/>
      <c r="AA97" s="1142"/>
      <c r="AB97" s="1142"/>
      <c r="AC97" s="194"/>
      <c r="AD97" s="194"/>
      <c r="AE97" s="194"/>
      <c r="AF97" s="194"/>
      <c r="AG97" s="194"/>
      <c r="AH97" s="194"/>
      <c r="AI97" s="194"/>
      <c r="AJ97" s="194"/>
      <c r="AK97" s="194"/>
      <c r="AL97" s="194"/>
      <c r="AM97" s="194"/>
      <c r="AN97" s="194"/>
      <c r="AO97" s="194"/>
      <c r="AP97" s="194"/>
      <c r="AQ97" s="194"/>
    </row>
    <row r="98" spans="1:43" s="1950" customFormat="1" ht="17.25" hidden="1" customHeight="1">
      <c r="A98" s="246"/>
      <c r="C98" s="245"/>
      <c r="D98" s="2042"/>
      <c r="E98" s="2044"/>
      <c r="F98" s="2046"/>
      <c r="G98" s="2049"/>
      <c r="H98" s="2051"/>
      <c r="I98" s="2053"/>
      <c r="J98" s="2056"/>
      <c r="K98" s="2040"/>
      <c r="L98" s="1182"/>
      <c r="M98" s="1182"/>
      <c r="N98" s="1182"/>
      <c r="O98" s="1182"/>
      <c r="P98" s="1182"/>
      <c r="Q98" s="1182"/>
      <c r="R98" s="1182"/>
      <c r="S98" s="255"/>
      <c r="T98" s="255"/>
      <c r="U98" s="255"/>
      <c r="V98" s="255"/>
      <c r="W98" s="1183"/>
      <c r="X98" s="1142"/>
      <c r="Y98" s="1142"/>
      <c r="Z98" s="1142"/>
      <c r="AA98" s="1142"/>
      <c r="AB98" s="1142"/>
      <c r="AC98" s="194"/>
      <c r="AD98" s="194"/>
      <c r="AE98" s="194"/>
      <c r="AF98" s="194"/>
      <c r="AG98" s="194"/>
      <c r="AH98" s="194"/>
      <c r="AI98" s="194"/>
      <c r="AJ98" s="194"/>
      <c r="AK98" s="194"/>
      <c r="AL98" s="194"/>
      <c r="AM98" s="194"/>
      <c r="AN98" s="194"/>
      <c r="AO98" s="194"/>
      <c r="AP98" s="194"/>
      <c r="AQ98" s="194"/>
    </row>
    <row r="99" spans="1:43" s="1950" customFormat="1" ht="17.25" hidden="1" customHeight="1">
      <c r="A99" s="246"/>
      <c r="C99" s="245"/>
      <c r="D99" s="2042"/>
      <c r="E99" s="2044"/>
      <c r="F99" s="2047"/>
      <c r="G99" s="2049"/>
      <c r="H99" s="1185"/>
      <c r="I99" s="1186"/>
      <c r="J99" s="1186"/>
      <c r="K99" s="1186"/>
      <c r="L99" s="1186"/>
      <c r="M99" s="1186"/>
      <c r="N99" s="1186"/>
      <c r="O99" s="1186"/>
      <c r="P99" s="1186"/>
      <c r="Q99" s="1186"/>
      <c r="R99" s="1186"/>
      <c r="S99" s="1187"/>
      <c r="T99" s="1187"/>
      <c r="U99" s="1187"/>
      <c r="V99" s="1187"/>
      <c r="W99" s="1188"/>
      <c r="X99" s="1142"/>
      <c r="Y99" s="1142"/>
      <c r="Z99" s="1142"/>
      <c r="AA99" s="1142"/>
      <c r="AB99" s="1142"/>
      <c r="AC99" s="194"/>
      <c r="AD99" s="194"/>
      <c r="AE99" s="194"/>
      <c r="AF99" s="194"/>
      <c r="AG99" s="194"/>
      <c r="AH99" s="194"/>
      <c r="AI99" s="194"/>
      <c r="AJ99" s="194"/>
      <c r="AK99" s="194"/>
      <c r="AL99" s="194"/>
      <c r="AM99" s="194"/>
      <c r="AN99" s="194"/>
      <c r="AO99" s="194"/>
      <c r="AP99" s="194"/>
      <c r="AQ99" s="194"/>
    </row>
    <row r="100" spans="1:43" s="1950" customFormat="1" ht="17.25" hidden="1" customHeight="1">
      <c r="A100" s="246"/>
      <c r="C100" s="131"/>
      <c r="D100" s="2041">
        <v>3</v>
      </c>
      <c r="E100" s="2043" t="s">
        <v>251</v>
      </c>
      <c r="F100" s="2045" t="s">
        <v>56</v>
      </c>
      <c r="G100" s="2048"/>
      <c r="H100" s="2050"/>
      <c r="I100" s="2052"/>
      <c r="J100" s="2054"/>
      <c r="K100" s="2039"/>
      <c r="L100" s="2039"/>
      <c r="M100" s="2039"/>
      <c r="N100" s="2057"/>
      <c r="O100" s="2039"/>
      <c r="P100" s="2039"/>
      <c r="Q100" s="2039"/>
      <c r="R100" s="2060"/>
      <c r="S100" s="2039"/>
      <c r="T100" s="1333"/>
      <c r="U100" s="1333"/>
      <c r="V100" s="1335"/>
      <c r="W100" s="1181"/>
      <c r="X100" s="1149"/>
      <c r="Y100" s="1149"/>
      <c r="Z100" s="1149"/>
      <c r="AA100" s="1149"/>
      <c r="AB100" s="1149"/>
      <c r="AC100" s="1228" t="s">
        <v>252</v>
      </c>
      <c r="AD100" s="1228" t="s">
        <v>253</v>
      </c>
      <c r="AE100" s="1228" t="s">
        <v>254</v>
      </c>
      <c r="AF100" s="1228" t="s">
        <v>255</v>
      </c>
      <c r="AG100" s="1228"/>
      <c r="AH100" s="1228" t="str">
        <f>IF($E$100=0,"",$E$100)</f>
        <v>Тариф на подключение (технологическое присоединение) к централизованной системе горячего водоснабжения</v>
      </c>
      <c r="AI100" s="1228" t="str">
        <f>IF($G$100=0,"",$G$100)</f>
        <v/>
      </c>
      <c r="AJ100" s="1228" t="str">
        <f>IF($J$100=0,"",$J$100)</f>
        <v/>
      </c>
      <c r="AK100" s="1228" t="str">
        <f>IF($K$100="нет","без дифференциации",IF($N$100=0,"",$N$100))</f>
        <v/>
      </c>
      <c r="AL100" s="1228" t="str">
        <f>IF($O$100="нет","без дифференциации",IF($R$100=0,"",$R$100))</f>
        <v/>
      </c>
      <c r="AM100" s="1228" t="str">
        <f>IF($S$100="нет","без дифференциации",IF($V$100=0,"",$V$100))</f>
        <v/>
      </c>
      <c r="AN100" s="1381">
        <f>$I$100</f>
        <v>0</v>
      </c>
      <c r="AO100" s="1228" t="str">
        <f>$I$100&amp;"."&amp;$M$100</f>
        <v>.</v>
      </c>
      <c r="AP100" s="194" t="str">
        <f>$I$100&amp;"."&amp;$M$100&amp;"."&amp;$Q$100</f>
        <v>..</v>
      </c>
      <c r="AQ100" s="194" t="str">
        <f>$I$100&amp;"."&amp;$M$100&amp;"."&amp;$Q$100&amp;"."&amp;$U$100</f>
        <v>...</v>
      </c>
    </row>
    <row r="101" spans="1:43" s="1950" customFormat="1" ht="17.25" hidden="1" customHeight="1">
      <c r="A101" s="246"/>
      <c r="C101" s="245"/>
      <c r="D101" s="2041"/>
      <c r="E101" s="2043"/>
      <c r="F101" s="2046"/>
      <c r="G101" s="2048"/>
      <c r="H101" s="2051"/>
      <c r="I101" s="2053"/>
      <c r="J101" s="2055"/>
      <c r="K101" s="2040"/>
      <c r="L101" s="2040"/>
      <c r="M101" s="2040"/>
      <c r="N101" s="2058"/>
      <c r="O101" s="2040"/>
      <c r="P101" s="2040"/>
      <c r="Q101" s="2040"/>
      <c r="R101" s="2059"/>
      <c r="S101" s="2040"/>
      <c r="T101" s="1182"/>
      <c r="U101" s="1182"/>
      <c r="V101" s="1182"/>
      <c r="W101" s="1183"/>
      <c r="X101" s="1142"/>
      <c r="Y101" s="1142"/>
      <c r="Z101" s="1142"/>
      <c r="AA101" s="1142"/>
      <c r="AB101" s="1142"/>
      <c r="AC101" s="194"/>
      <c r="AD101" s="194"/>
      <c r="AE101" s="194"/>
      <c r="AF101" s="194"/>
      <c r="AG101" s="194"/>
      <c r="AH101" s="194"/>
      <c r="AI101" s="194"/>
      <c r="AJ101" s="194"/>
      <c r="AK101" s="194"/>
      <c r="AL101" s="194"/>
      <c r="AM101" s="194"/>
      <c r="AN101" s="194"/>
      <c r="AO101" s="194"/>
      <c r="AP101" s="194"/>
      <c r="AQ101" s="194"/>
    </row>
    <row r="102" spans="1:43" s="1950" customFormat="1" ht="17.25" hidden="1" customHeight="1">
      <c r="A102" s="246"/>
      <c r="C102" s="245"/>
      <c r="D102" s="2042"/>
      <c r="E102" s="2044"/>
      <c r="F102" s="2046"/>
      <c r="G102" s="2049"/>
      <c r="H102" s="2051"/>
      <c r="I102" s="2053"/>
      <c r="J102" s="2056"/>
      <c r="K102" s="2040"/>
      <c r="L102" s="2040"/>
      <c r="M102" s="2040"/>
      <c r="N102" s="2059"/>
      <c r="O102" s="2040"/>
      <c r="P102" s="1334"/>
      <c r="Q102" s="1182"/>
      <c r="R102" s="1182"/>
      <c r="S102" s="255"/>
      <c r="T102" s="255"/>
      <c r="U102" s="255"/>
      <c r="V102" s="255"/>
      <c r="W102" s="1183"/>
      <c r="X102" s="1142"/>
      <c r="Y102" s="1142"/>
      <c r="Z102" s="1142"/>
      <c r="AA102" s="1142"/>
      <c r="AB102" s="1142"/>
      <c r="AC102" s="194"/>
      <c r="AD102" s="194"/>
      <c r="AE102" s="194"/>
      <c r="AF102" s="194"/>
      <c r="AG102" s="194"/>
      <c r="AH102" s="194"/>
      <c r="AI102" s="194"/>
      <c r="AJ102" s="194"/>
      <c r="AK102" s="194"/>
      <c r="AL102" s="194"/>
      <c r="AM102" s="194"/>
      <c r="AN102" s="194"/>
      <c r="AO102" s="194"/>
      <c r="AP102" s="194"/>
      <c r="AQ102" s="194"/>
    </row>
    <row r="103" spans="1:43" s="1950" customFormat="1" ht="17.25" hidden="1" customHeight="1">
      <c r="A103" s="246"/>
      <c r="C103" s="245"/>
      <c r="D103" s="2042"/>
      <c r="E103" s="2044"/>
      <c r="F103" s="2046"/>
      <c r="G103" s="2049"/>
      <c r="H103" s="2051"/>
      <c r="I103" s="2053"/>
      <c r="J103" s="2056"/>
      <c r="K103" s="2040"/>
      <c r="L103" s="1182"/>
      <c r="M103" s="1182"/>
      <c r="N103" s="1182"/>
      <c r="O103" s="1182"/>
      <c r="P103" s="1182"/>
      <c r="Q103" s="1182"/>
      <c r="R103" s="1182"/>
      <c r="S103" s="255"/>
      <c r="T103" s="255"/>
      <c r="U103" s="255"/>
      <c r="V103" s="255"/>
      <c r="W103" s="1183"/>
      <c r="X103" s="1142"/>
      <c r="Y103" s="1142"/>
      <c r="Z103" s="1142"/>
      <c r="AA103" s="1142"/>
      <c r="AB103" s="1142"/>
      <c r="AC103" s="194"/>
      <c r="AD103" s="194"/>
      <c r="AE103" s="194"/>
      <c r="AF103" s="194"/>
      <c r="AG103" s="194"/>
      <c r="AH103" s="194"/>
      <c r="AI103" s="194"/>
      <c r="AJ103" s="194"/>
      <c r="AK103" s="194"/>
      <c r="AL103" s="194"/>
      <c r="AM103" s="194"/>
      <c r="AN103" s="194"/>
      <c r="AO103" s="194"/>
      <c r="AP103" s="194"/>
      <c r="AQ103" s="194"/>
    </row>
    <row r="104" spans="1:43" s="1950" customFormat="1" ht="17.25" hidden="1" customHeight="1">
      <c r="A104" s="246"/>
      <c r="C104" s="245"/>
      <c r="D104" s="2042"/>
      <c r="E104" s="2044"/>
      <c r="F104" s="2047"/>
      <c r="G104" s="2049"/>
      <c r="H104" s="1185"/>
      <c r="I104" s="1186"/>
      <c r="J104" s="1186"/>
      <c r="K104" s="1186"/>
      <c r="L104" s="1186"/>
      <c r="M104" s="1186"/>
      <c r="N104" s="1186"/>
      <c r="O104" s="1186"/>
      <c r="P104" s="1186"/>
      <c r="Q104" s="1186"/>
      <c r="R104" s="1186"/>
      <c r="S104" s="1187"/>
      <c r="T104" s="1187"/>
      <c r="U104" s="1187"/>
      <c r="V104" s="1187"/>
      <c r="W104" s="1188"/>
      <c r="X104" s="1142"/>
      <c r="Y104" s="1142"/>
      <c r="Z104" s="1142"/>
      <c r="AA104" s="1142"/>
      <c r="AB104" s="1142"/>
      <c r="AC104" s="194"/>
      <c r="AD104" s="194"/>
      <c r="AE104" s="194"/>
      <c r="AF104" s="194"/>
      <c r="AG104" s="194"/>
      <c r="AH104" s="194"/>
      <c r="AI104" s="194"/>
      <c r="AJ104" s="194"/>
      <c r="AK104" s="194"/>
      <c r="AL104" s="194"/>
      <c r="AM104" s="194"/>
      <c r="AN104" s="194"/>
      <c r="AO104" s="194"/>
      <c r="AP104" s="194"/>
      <c r="AQ104" s="194"/>
    </row>
    <row r="105" spans="1:43" s="1950" customFormat="1" ht="11.25" hidden="1" customHeight="1">
      <c r="A105" s="194"/>
      <c r="B105" s="194"/>
      <c r="Y105" s="1142"/>
      <c r="Z105" s="1142"/>
      <c r="AA105" s="1142"/>
      <c r="AB105" s="1142"/>
      <c r="AC105" s="194"/>
      <c r="AD105" s="194"/>
      <c r="AE105" s="194"/>
      <c r="AF105" s="194"/>
      <c r="AG105" s="194"/>
      <c r="AH105" s="194"/>
      <c r="AI105" s="194"/>
      <c r="AJ105" s="194"/>
      <c r="AK105" s="194"/>
      <c r="AL105" s="194"/>
      <c r="AM105" s="194"/>
      <c r="AN105" s="194"/>
      <c r="AO105" s="194"/>
      <c r="AP105" s="194"/>
      <c r="AQ105" s="194"/>
    </row>
    <row r="106" spans="1:43" s="1950" customFormat="1" ht="17.25" hidden="1" customHeight="1">
      <c r="A106" s="246"/>
      <c r="C106" s="131"/>
      <c r="D106" s="2041">
        <v>1</v>
      </c>
      <c r="E106" s="2043" t="s">
        <v>256</v>
      </c>
      <c r="F106" s="2045" t="s">
        <v>56</v>
      </c>
      <c r="G106" s="2048"/>
      <c r="H106" s="2050"/>
      <c r="I106" s="2052"/>
      <c r="J106" s="2054"/>
      <c r="K106" s="2039"/>
      <c r="L106" s="2039"/>
      <c r="M106" s="2039"/>
      <c r="N106" s="2057"/>
      <c r="O106" s="2039"/>
      <c r="P106" s="2039"/>
      <c r="Q106" s="2039"/>
      <c r="R106" s="2060"/>
      <c r="S106" s="2039"/>
      <c r="T106" s="1333"/>
      <c r="U106" s="1333"/>
      <c r="V106" s="1335"/>
      <c r="W106" s="1181"/>
      <c r="Y106" s="1149"/>
      <c r="Z106" s="1149"/>
      <c r="AA106" s="1149"/>
      <c r="AB106" s="1149"/>
      <c r="AC106" s="1228" t="s">
        <v>257</v>
      </c>
      <c r="AD106" s="1228" t="s">
        <v>258</v>
      </c>
      <c r="AE106" s="1228" t="s">
        <v>259</v>
      </c>
      <c r="AF106" s="1228" t="s">
        <v>260</v>
      </c>
      <c r="AG106" s="1228"/>
      <c r="AH106" s="1228" t="str">
        <f>IF($E$106=0,"",$E$106)</f>
        <v>Тариф на водоотведение</v>
      </c>
      <c r="AI106" s="1228" t="str">
        <f>IF($G$106=0,"",$G$106)</f>
        <v/>
      </c>
      <c r="AJ106" s="1228" t="str">
        <f>IF($J$106=0,"",$J$106)</f>
        <v/>
      </c>
      <c r="AK106" s="1228" t="str">
        <f>IF($K$106="нет","без дифференциации",IF($N$106=0,"",$N$106))</f>
        <v/>
      </c>
      <c r="AL106" s="1228" t="str">
        <f>IF($O$106="нет","без дифференциации",IF($R$106=0,"",$R$106))</f>
        <v/>
      </c>
      <c r="AM106" s="1228" t="str">
        <f>IF($S$106="нет","без дифференциации",IF($V$106=0,"",$V$106))</f>
        <v/>
      </c>
      <c r="AN106" s="1228">
        <f>$I$106</f>
        <v>0</v>
      </c>
      <c r="AO106" s="1228" t="str">
        <f>$I$106&amp;"."&amp;$M$106</f>
        <v>.</v>
      </c>
      <c r="AP106" s="1228" t="str">
        <f>$I$106&amp;"."&amp;$M$106&amp;"."&amp;$Q$106</f>
        <v>..</v>
      </c>
      <c r="AQ106" s="1228" t="str">
        <f>$I$106&amp;"."&amp;$M$106&amp;"."&amp;$Q$106&amp;"."&amp;$U$106</f>
        <v>...</v>
      </c>
    </row>
    <row r="107" spans="1:43" s="1950" customFormat="1" ht="17.25" hidden="1" customHeight="1">
      <c r="A107" s="246"/>
      <c r="C107" s="245"/>
      <c r="D107" s="2041"/>
      <c r="E107" s="2043"/>
      <c r="F107" s="2046"/>
      <c r="G107" s="2048"/>
      <c r="H107" s="2051"/>
      <c r="I107" s="2053"/>
      <c r="J107" s="2055"/>
      <c r="K107" s="2040"/>
      <c r="L107" s="2040"/>
      <c r="M107" s="2040"/>
      <c r="N107" s="2058"/>
      <c r="O107" s="2040"/>
      <c r="P107" s="2040"/>
      <c r="Q107" s="2040"/>
      <c r="R107" s="2059"/>
      <c r="S107" s="2040"/>
      <c r="T107" s="1182"/>
      <c r="U107" s="1182"/>
      <c r="V107" s="1182"/>
      <c r="W107" s="1183"/>
      <c r="Y107" s="1142"/>
      <c r="Z107" s="1142"/>
      <c r="AA107" s="1142"/>
      <c r="AB107" s="1142"/>
      <c r="AC107" s="194"/>
      <c r="AD107" s="194"/>
      <c r="AE107" s="194"/>
      <c r="AF107" s="194"/>
      <c r="AG107" s="194"/>
      <c r="AH107" s="194"/>
      <c r="AI107" s="194"/>
      <c r="AJ107" s="194"/>
      <c r="AK107" s="194"/>
      <c r="AL107" s="194"/>
      <c r="AM107" s="194"/>
      <c r="AN107" s="194"/>
      <c r="AO107" s="194"/>
      <c r="AP107" s="194"/>
      <c r="AQ107" s="194"/>
    </row>
    <row r="108" spans="1:43" s="1950" customFormat="1" ht="17.25" hidden="1" customHeight="1">
      <c r="A108" s="246"/>
      <c r="C108" s="131"/>
      <c r="D108" s="2041"/>
      <c r="E108" s="2043"/>
      <c r="F108" s="2046"/>
      <c r="G108" s="2048"/>
      <c r="H108" s="2051"/>
      <c r="I108" s="2053"/>
      <c r="J108" s="2056"/>
      <c r="K108" s="2040"/>
      <c r="L108" s="2040"/>
      <c r="M108" s="2040"/>
      <c r="N108" s="2059"/>
      <c r="O108" s="2040"/>
      <c r="P108" s="1334"/>
      <c r="Q108" s="1182"/>
      <c r="R108" s="1182"/>
      <c r="S108" s="255"/>
      <c r="T108" s="255"/>
      <c r="U108" s="255"/>
      <c r="V108" s="255"/>
      <c r="W108" s="1183"/>
      <c r="Y108" s="1149"/>
      <c r="Z108" s="1149"/>
      <c r="AA108" s="1149"/>
      <c r="AB108" s="1149"/>
      <c r="AC108" s="1228"/>
      <c r="AD108" s="1228"/>
      <c r="AE108" s="1228"/>
      <c r="AF108" s="1228"/>
      <c r="AG108" s="1228"/>
      <c r="AH108" s="1228"/>
      <c r="AI108" s="1228"/>
      <c r="AJ108" s="1228"/>
      <c r="AK108" s="1228"/>
      <c r="AL108" s="1228"/>
      <c r="AM108" s="1228"/>
      <c r="AN108" s="1228"/>
      <c r="AO108" s="1228"/>
      <c r="AP108" s="1228"/>
      <c r="AQ108" s="1228"/>
    </row>
    <row r="109" spans="1:43" s="1950" customFormat="1" ht="17.25" hidden="1" customHeight="1">
      <c r="A109" s="246"/>
      <c r="C109" s="245"/>
      <c r="D109" s="2041"/>
      <c r="E109" s="2043"/>
      <c r="F109" s="2046"/>
      <c r="G109" s="2048"/>
      <c r="H109" s="2051"/>
      <c r="I109" s="2053"/>
      <c r="J109" s="2056"/>
      <c r="K109" s="2040"/>
      <c r="L109" s="1182"/>
      <c r="M109" s="1182"/>
      <c r="N109" s="1182"/>
      <c r="O109" s="1182"/>
      <c r="P109" s="1182"/>
      <c r="Q109" s="1182"/>
      <c r="R109" s="1182"/>
      <c r="S109" s="255"/>
      <c r="T109" s="255"/>
      <c r="U109" s="255"/>
      <c r="V109" s="255"/>
      <c r="W109" s="1183"/>
      <c r="Y109" s="1142"/>
      <c r="Z109" s="1142"/>
      <c r="AA109" s="1142"/>
      <c r="AB109" s="1142"/>
      <c r="AC109" s="194"/>
      <c r="AD109" s="194"/>
      <c r="AE109" s="194"/>
      <c r="AF109" s="194"/>
      <c r="AG109" s="194"/>
      <c r="AH109" s="194"/>
      <c r="AI109" s="194"/>
      <c r="AJ109" s="194"/>
      <c r="AK109" s="194"/>
      <c r="AL109" s="194"/>
      <c r="AM109" s="194"/>
      <c r="AN109" s="194"/>
      <c r="AO109" s="194"/>
      <c r="AP109" s="194"/>
      <c r="AQ109" s="194"/>
    </row>
    <row r="110" spans="1:43" s="1950" customFormat="1" ht="17.25" hidden="1" customHeight="1">
      <c r="A110" s="246"/>
      <c r="C110" s="245"/>
      <c r="D110" s="2042"/>
      <c r="E110" s="2044"/>
      <c r="F110" s="2047"/>
      <c r="G110" s="2049"/>
      <c r="H110" s="1185"/>
      <c r="I110" s="1186"/>
      <c r="J110" s="1186"/>
      <c r="K110" s="1186"/>
      <c r="L110" s="1186"/>
      <c r="M110" s="1186"/>
      <c r="N110" s="1186"/>
      <c r="O110" s="1186"/>
      <c r="P110" s="1186"/>
      <c r="Q110" s="1186"/>
      <c r="R110" s="1186"/>
      <c r="S110" s="1187"/>
      <c r="T110" s="1187"/>
      <c r="U110" s="1187"/>
      <c r="V110" s="1187"/>
      <c r="W110" s="1188"/>
      <c r="Y110" s="1142"/>
      <c r="Z110" s="1142"/>
      <c r="AA110" s="1142"/>
      <c r="AB110" s="1142"/>
      <c r="AC110" s="194"/>
      <c r="AD110" s="194"/>
      <c r="AE110" s="194"/>
      <c r="AF110" s="194"/>
      <c r="AG110" s="194"/>
      <c r="AH110" s="194"/>
      <c r="AI110" s="194"/>
      <c r="AJ110" s="194"/>
      <c r="AK110" s="194"/>
      <c r="AL110" s="194"/>
      <c r="AM110" s="194"/>
      <c r="AN110" s="194"/>
      <c r="AO110" s="194"/>
      <c r="AP110" s="194"/>
      <c r="AQ110" s="194"/>
    </row>
    <row r="111" spans="1:43" s="1950" customFormat="1" ht="17.25" hidden="1" customHeight="1">
      <c r="A111" s="246"/>
      <c r="C111" s="131"/>
      <c r="D111" s="2041">
        <v>2</v>
      </c>
      <c r="E111" s="2043" t="s">
        <v>261</v>
      </c>
      <c r="F111" s="2045" t="s">
        <v>56</v>
      </c>
      <c r="G111" s="2048"/>
      <c r="H111" s="2050"/>
      <c r="I111" s="2052"/>
      <c r="J111" s="2054"/>
      <c r="K111" s="2039"/>
      <c r="L111" s="2039"/>
      <c r="M111" s="2039"/>
      <c r="N111" s="2057"/>
      <c r="O111" s="2039"/>
      <c r="P111" s="2039"/>
      <c r="Q111" s="2039"/>
      <c r="R111" s="2060"/>
      <c r="S111" s="2039"/>
      <c r="T111" s="1333"/>
      <c r="U111" s="1333"/>
      <c r="V111" s="1335"/>
      <c r="W111" s="1181"/>
      <c r="X111" s="1149"/>
      <c r="Y111" s="1149"/>
      <c r="Z111" s="1149"/>
      <c r="AA111" s="1149"/>
      <c r="AB111" s="1149"/>
      <c r="AC111" s="1228" t="s">
        <v>262</v>
      </c>
      <c r="AD111" s="1228" t="s">
        <v>263</v>
      </c>
      <c r="AE111" s="1228" t="s">
        <v>264</v>
      </c>
      <c r="AF111" s="1228" t="s">
        <v>265</v>
      </c>
      <c r="AG111" s="1228"/>
      <c r="AH111" s="1228" t="str">
        <f>IF($E$111=0,"",$E$111)</f>
        <v>Тариф на транспортировку сточных вод</v>
      </c>
      <c r="AI111" s="1228" t="str">
        <f>IF($G$111=0,"",$G$111)</f>
        <v/>
      </c>
      <c r="AJ111" s="1228" t="str">
        <f>IF($J$111=0,"",$J$111)</f>
        <v/>
      </c>
      <c r="AK111" s="1228" t="str">
        <f>IF($K$111="нет","без дифференциации",IF($N$111=0,"",$N$111))</f>
        <v/>
      </c>
      <c r="AL111" s="1228" t="str">
        <f>IF($O$111="нет","без дифференциации",IF($R$111=0,"",$R$111))</f>
        <v/>
      </c>
      <c r="AM111" s="1228" t="str">
        <f>IF($S$111="нет","без дифференциации",IF($V$111=0,"",$V$111))</f>
        <v/>
      </c>
      <c r="AN111" s="1381">
        <f>$I$111</f>
        <v>0</v>
      </c>
      <c r="AO111" s="1228" t="str">
        <f>$I$111&amp;"."&amp;$M$111</f>
        <v>.</v>
      </c>
      <c r="AP111" s="194" t="str">
        <f>$I$111&amp;"."&amp;$M$111&amp;"."&amp;$Q$111</f>
        <v>..</v>
      </c>
      <c r="AQ111" s="194" t="str">
        <f>$I$111&amp;"."&amp;$M$111&amp;"."&amp;$Q$111&amp;"."&amp;$U$111</f>
        <v>...</v>
      </c>
    </row>
    <row r="112" spans="1:43" s="1950" customFormat="1" ht="17.25" hidden="1" customHeight="1">
      <c r="A112" s="246"/>
      <c r="C112" s="245"/>
      <c r="D112" s="2041"/>
      <c r="E112" s="2043"/>
      <c r="F112" s="2046"/>
      <c r="G112" s="2048"/>
      <c r="H112" s="2051"/>
      <c r="I112" s="2053"/>
      <c r="J112" s="2055"/>
      <c r="K112" s="2040"/>
      <c r="L112" s="2040"/>
      <c r="M112" s="2040"/>
      <c r="N112" s="2058"/>
      <c r="O112" s="2040"/>
      <c r="P112" s="2040"/>
      <c r="Q112" s="2040"/>
      <c r="R112" s="2059"/>
      <c r="S112" s="2040"/>
      <c r="T112" s="1182"/>
      <c r="U112" s="1182"/>
      <c r="V112" s="1182"/>
      <c r="W112" s="1183"/>
      <c r="X112" s="1142"/>
      <c r="Y112" s="1142"/>
      <c r="Z112" s="1142"/>
      <c r="AA112" s="1142"/>
      <c r="AB112" s="1142"/>
      <c r="AC112" s="194"/>
      <c r="AD112" s="194"/>
      <c r="AE112" s="194"/>
      <c r="AF112" s="194"/>
      <c r="AG112" s="194"/>
      <c r="AH112" s="194"/>
      <c r="AI112" s="194"/>
      <c r="AJ112" s="194"/>
      <c r="AK112" s="194"/>
      <c r="AL112" s="194"/>
      <c r="AM112" s="194"/>
      <c r="AN112" s="194"/>
      <c r="AO112" s="194"/>
      <c r="AP112" s="194"/>
      <c r="AQ112" s="194"/>
    </row>
    <row r="113" spans="1:43" s="1950" customFormat="1" ht="17.25" hidden="1" customHeight="1">
      <c r="A113" s="246"/>
      <c r="C113" s="245"/>
      <c r="D113" s="2042"/>
      <c r="E113" s="2044"/>
      <c r="F113" s="2046"/>
      <c r="G113" s="2049"/>
      <c r="H113" s="2051"/>
      <c r="I113" s="2053"/>
      <c r="J113" s="2056"/>
      <c r="K113" s="2040"/>
      <c r="L113" s="2040"/>
      <c r="M113" s="2040"/>
      <c r="N113" s="2059"/>
      <c r="O113" s="2040"/>
      <c r="P113" s="1334"/>
      <c r="Q113" s="1182"/>
      <c r="R113" s="1182"/>
      <c r="S113" s="255"/>
      <c r="T113" s="255"/>
      <c r="U113" s="255"/>
      <c r="V113" s="255"/>
      <c r="W113" s="1183"/>
      <c r="X113" s="1142"/>
      <c r="Y113" s="1142"/>
      <c r="Z113" s="1142"/>
      <c r="AA113" s="1142"/>
      <c r="AB113" s="1142"/>
      <c r="AC113" s="194"/>
      <c r="AD113" s="194"/>
      <c r="AE113" s="194"/>
      <c r="AF113" s="194"/>
      <c r="AG113" s="194"/>
      <c r="AH113" s="194"/>
      <c r="AI113" s="194"/>
      <c r="AJ113" s="194"/>
      <c r="AK113" s="194"/>
      <c r="AL113" s="194"/>
      <c r="AM113" s="194"/>
      <c r="AN113" s="194"/>
      <c r="AO113" s="194"/>
      <c r="AP113" s="194"/>
      <c r="AQ113" s="194"/>
    </row>
    <row r="114" spans="1:43" s="1950" customFormat="1" ht="17.25" hidden="1" customHeight="1">
      <c r="A114" s="246"/>
      <c r="C114" s="245"/>
      <c r="D114" s="2042"/>
      <c r="E114" s="2044"/>
      <c r="F114" s="2046"/>
      <c r="G114" s="2049"/>
      <c r="H114" s="2051"/>
      <c r="I114" s="2053"/>
      <c r="J114" s="2056"/>
      <c r="K114" s="2040"/>
      <c r="L114" s="1182"/>
      <c r="M114" s="1182"/>
      <c r="N114" s="1182"/>
      <c r="O114" s="1182"/>
      <c r="P114" s="1182"/>
      <c r="Q114" s="1182"/>
      <c r="R114" s="1182"/>
      <c r="S114" s="255"/>
      <c r="T114" s="255"/>
      <c r="U114" s="255"/>
      <c r="V114" s="255"/>
      <c r="W114" s="1183"/>
      <c r="X114" s="1142"/>
      <c r="Y114" s="1142"/>
      <c r="Z114" s="1142"/>
      <c r="AA114" s="1142"/>
      <c r="AB114" s="1142"/>
      <c r="AC114" s="194"/>
      <c r="AD114" s="194"/>
      <c r="AE114" s="194"/>
      <c r="AF114" s="194"/>
      <c r="AG114" s="194"/>
      <c r="AH114" s="194"/>
      <c r="AI114" s="194"/>
      <c r="AJ114" s="194"/>
      <c r="AK114" s="194"/>
      <c r="AL114" s="194"/>
      <c r="AM114" s="194"/>
      <c r="AN114" s="194"/>
      <c r="AO114" s="194"/>
      <c r="AP114" s="194"/>
      <c r="AQ114" s="194"/>
    </row>
    <row r="115" spans="1:43" s="1950" customFormat="1" ht="17.25" hidden="1" customHeight="1">
      <c r="A115" s="246"/>
      <c r="C115" s="245"/>
      <c r="D115" s="2042"/>
      <c r="E115" s="2044"/>
      <c r="F115" s="2047"/>
      <c r="G115" s="2049"/>
      <c r="H115" s="1185"/>
      <c r="I115" s="1186"/>
      <c r="J115" s="1186"/>
      <c r="K115" s="1186"/>
      <c r="L115" s="1186"/>
      <c r="M115" s="1186"/>
      <c r="N115" s="1186"/>
      <c r="O115" s="1186"/>
      <c r="P115" s="1186"/>
      <c r="Q115" s="1186"/>
      <c r="R115" s="1186"/>
      <c r="S115" s="1187"/>
      <c r="T115" s="1187"/>
      <c r="U115" s="1187"/>
      <c r="V115" s="1187"/>
      <c r="W115" s="1188"/>
      <c r="X115" s="1142"/>
      <c r="Y115" s="1142"/>
      <c r="Z115" s="1142"/>
      <c r="AA115" s="1142"/>
      <c r="AB115" s="1142"/>
      <c r="AC115" s="194"/>
      <c r="AD115" s="194"/>
      <c r="AE115" s="194"/>
      <c r="AF115" s="194"/>
      <c r="AG115" s="194"/>
      <c r="AH115" s="194"/>
      <c r="AI115" s="194"/>
      <c r="AJ115" s="194"/>
      <c r="AK115" s="194"/>
      <c r="AL115" s="194"/>
      <c r="AM115" s="194"/>
      <c r="AN115" s="194"/>
      <c r="AO115" s="194"/>
      <c r="AP115" s="194"/>
      <c r="AQ115" s="194"/>
    </row>
    <row r="116" spans="1:43" s="1950" customFormat="1" ht="17.25" hidden="1" customHeight="1">
      <c r="A116" s="246"/>
      <c r="C116" s="131"/>
      <c r="D116" s="2041">
        <v>3</v>
      </c>
      <c r="E116" s="2043" t="s">
        <v>266</v>
      </c>
      <c r="F116" s="2045" t="s">
        <v>56</v>
      </c>
      <c r="G116" s="2048"/>
      <c r="H116" s="2050"/>
      <c r="I116" s="2052"/>
      <c r="J116" s="2054"/>
      <c r="K116" s="2039"/>
      <c r="L116" s="2039"/>
      <c r="M116" s="2039"/>
      <c r="N116" s="2057"/>
      <c r="O116" s="2039"/>
      <c r="P116" s="2039"/>
      <c r="Q116" s="2039"/>
      <c r="R116" s="2060"/>
      <c r="S116" s="2039"/>
      <c r="T116" s="1333"/>
      <c r="U116" s="1333"/>
      <c r="V116" s="1335"/>
      <c r="W116" s="1181"/>
      <c r="X116" s="1149"/>
      <c r="Y116" s="1149"/>
      <c r="Z116" s="1149"/>
      <c r="AA116" s="1149"/>
      <c r="AB116" s="1149"/>
      <c r="AC116" s="1228" t="s">
        <v>267</v>
      </c>
      <c r="AD116" s="1228" t="s">
        <v>268</v>
      </c>
      <c r="AE116" s="1228" t="s">
        <v>269</v>
      </c>
      <c r="AF116" s="1228" t="s">
        <v>270</v>
      </c>
      <c r="AG116" s="1228"/>
      <c r="AH116" s="1228" t="str">
        <f>IF($E$116=0,"",$E$116)</f>
        <v>Тариф на подключение (технологическое присоединение) к централизованной системе водоотведения</v>
      </c>
      <c r="AI116" s="1228" t="str">
        <f>IF($G$116=0,"",$G$116)</f>
        <v/>
      </c>
      <c r="AJ116" s="1228" t="str">
        <f>IF($J$116=0,"",$J$116)</f>
        <v/>
      </c>
      <c r="AK116" s="1228" t="str">
        <f>IF($K$116="нет","без дифференциации",IF($N$116=0,"",$N$116))</f>
        <v/>
      </c>
      <c r="AL116" s="1228" t="str">
        <f>IF($O$116="нет","без дифференциации",IF($R$116=0,"",$R$116))</f>
        <v/>
      </c>
      <c r="AM116" s="1228" t="str">
        <f>IF($S$116="нет","без дифференциации",IF($V$116=0,"",$V$116))</f>
        <v/>
      </c>
      <c r="AN116" s="1381">
        <f>$I$116</f>
        <v>0</v>
      </c>
      <c r="AO116" s="1228" t="str">
        <f>$I$116&amp;"."&amp;$M$116</f>
        <v>.</v>
      </c>
      <c r="AP116" s="194" t="str">
        <f>$I$116&amp;"."&amp;$M$116&amp;"."&amp;$Q$116</f>
        <v>..</v>
      </c>
      <c r="AQ116" s="194" t="str">
        <f>$I$116&amp;"."&amp;$M$116&amp;"."&amp;$Q$116&amp;"."&amp;$U$116</f>
        <v>...</v>
      </c>
    </row>
    <row r="117" spans="1:43" s="1950" customFormat="1" ht="17.25" hidden="1" customHeight="1">
      <c r="A117" s="246"/>
      <c r="C117" s="245"/>
      <c r="D117" s="2041"/>
      <c r="E117" s="2043"/>
      <c r="F117" s="2046"/>
      <c r="G117" s="2048"/>
      <c r="H117" s="2051"/>
      <c r="I117" s="2053"/>
      <c r="J117" s="2055"/>
      <c r="K117" s="2040"/>
      <c r="L117" s="2040"/>
      <c r="M117" s="2040"/>
      <c r="N117" s="2058"/>
      <c r="O117" s="2040"/>
      <c r="P117" s="2040"/>
      <c r="Q117" s="2040"/>
      <c r="R117" s="2059"/>
      <c r="S117" s="2040"/>
      <c r="T117" s="1182"/>
      <c r="U117" s="1182"/>
      <c r="V117" s="1182"/>
      <c r="W117" s="1183"/>
      <c r="X117" s="1142"/>
      <c r="Y117" s="1142"/>
      <c r="Z117" s="1142"/>
      <c r="AA117" s="1142"/>
      <c r="AB117" s="1142"/>
      <c r="AC117" s="194"/>
      <c r="AD117" s="194"/>
      <c r="AE117" s="194"/>
      <c r="AF117" s="194"/>
      <c r="AG117" s="194"/>
      <c r="AH117" s="194"/>
      <c r="AI117" s="194"/>
      <c r="AJ117" s="194"/>
      <c r="AK117" s="194"/>
      <c r="AL117" s="194"/>
      <c r="AM117" s="194"/>
      <c r="AN117" s="194"/>
      <c r="AO117" s="194"/>
      <c r="AP117" s="194"/>
      <c r="AQ117" s="194"/>
    </row>
    <row r="118" spans="1:43" s="1950" customFormat="1" ht="17.25" hidden="1" customHeight="1">
      <c r="A118" s="246"/>
      <c r="C118" s="245"/>
      <c r="D118" s="2042"/>
      <c r="E118" s="2044"/>
      <c r="F118" s="2046"/>
      <c r="G118" s="2049"/>
      <c r="H118" s="2051"/>
      <c r="I118" s="2053"/>
      <c r="J118" s="2056"/>
      <c r="K118" s="2040"/>
      <c r="L118" s="2040"/>
      <c r="M118" s="2040"/>
      <c r="N118" s="2059"/>
      <c r="O118" s="2040"/>
      <c r="P118" s="1334"/>
      <c r="Q118" s="1182"/>
      <c r="R118" s="1182"/>
      <c r="S118" s="255"/>
      <c r="T118" s="255"/>
      <c r="U118" s="255"/>
      <c r="V118" s="255"/>
      <c r="W118" s="1183"/>
      <c r="X118" s="1142"/>
      <c r="Y118" s="1142"/>
      <c r="Z118" s="1142"/>
      <c r="AA118" s="1142"/>
      <c r="AB118" s="1142"/>
      <c r="AC118" s="194"/>
      <c r="AD118" s="194"/>
      <c r="AE118" s="194"/>
      <c r="AF118" s="194"/>
      <c r="AG118" s="194"/>
      <c r="AH118" s="194"/>
      <c r="AI118" s="194"/>
      <c r="AJ118" s="194"/>
      <c r="AK118" s="194"/>
      <c r="AL118" s="194"/>
      <c r="AM118" s="194"/>
      <c r="AN118" s="194"/>
      <c r="AO118" s="194"/>
      <c r="AP118" s="194"/>
      <c r="AQ118" s="194"/>
    </row>
    <row r="119" spans="1:43" s="1950" customFormat="1" ht="17.25" hidden="1" customHeight="1">
      <c r="A119" s="246"/>
      <c r="C119" s="245"/>
      <c r="D119" s="2042"/>
      <c r="E119" s="2044"/>
      <c r="F119" s="2046"/>
      <c r="G119" s="2049"/>
      <c r="H119" s="2051"/>
      <c r="I119" s="2053"/>
      <c r="J119" s="2056"/>
      <c r="K119" s="2040"/>
      <c r="L119" s="1182"/>
      <c r="M119" s="1182"/>
      <c r="N119" s="1182"/>
      <c r="O119" s="1182"/>
      <c r="P119" s="1182"/>
      <c r="Q119" s="1182"/>
      <c r="R119" s="1182"/>
      <c r="S119" s="255"/>
      <c r="T119" s="255"/>
      <c r="U119" s="255"/>
      <c r="V119" s="255"/>
      <c r="W119" s="1183"/>
      <c r="X119" s="1142"/>
      <c r="Y119" s="1142"/>
      <c r="Z119" s="1142"/>
      <c r="AA119" s="1142"/>
      <c r="AB119" s="1142"/>
      <c r="AC119" s="194"/>
      <c r="AD119" s="194"/>
      <c r="AE119" s="194"/>
      <c r="AF119" s="194"/>
      <c r="AG119" s="194"/>
      <c r="AH119" s="194"/>
      <c r="AI119" s="194"/>
      <c r="AJ119" s="194"/>
      <c r="AK119" s="194"/>
      <c r="AL119" s="194"/>
      <c r="AM119" s="194"/>
      <c r="AN119" s="194"/>
      <c r="AO119" s="194"/>
      <c r="AP119" s="194"/>
      <c r="AQ119" s="194"/>
    </row>
    <row r="120" spans="1:43" s="1950" customFormat="1" ht="17.25" hidden="1" customHeight="1">
      <c r="A120" s="246"/>
      <c r="C120" s="245"/>
      <c r="D120" s="2042"/>
      <c r="E120" s="2044"/>
      <c r="F120" s="2047"/>
      <c r="G120" s="2049"/>
      <c r="H120" s="1185"/>
      <c r="I120" s="1186"/>
      <c r="J120" s="1186"/>
      <c r="K120" s="1186"/>
      <c r="L120" s="1186"/>
      <c r="M120" s="1186"/>
      <c r="N120" s="1186"/>
      <c r="O120" s="1186"/>
      <c r="P120" s="1186"/>
      <c r="Q120" s="1186"/>
      <c r="R120" s="1186"/>
      <c r="S120" s="1187"/>
      <c r="T120" s="1187"/>
      <c r="U120" s="1187"/>
      <c r="V120" s="1187"/>
      <c r="W120" s="1188"/>
      <c r="X120" s="1142"/>
      <c r="Y120" s="1142"/>
      <c r="Z120" s="1142"/>
      <c r="AA120" s="1142"/>
      <c r="AB120" s="1142"/>
      <c r="AC120" s="194"/>
      <c r="AD120" s="194"/>
      <c r="AE120" s="194"/>
      <c r="AF120" s="194"/>
      <c r="AG120" s="194"/>
      <c r="AH120" s="194"/>
      <c r="AI120" s="194"/>
      <c r="AJ120" s="194"/>
      <c r="AK120" s="194"/>
      <c r="AL120" s="194"/>
      <c r="AM120" s="194"/>
      <c r="AN120" s="194"/>
      <c r="AO120" s="194"/>
      <c r="AP120" s="194"/>
      <c r="AQ120" s="194"/>
    </row>
    <row r="121" spans="1:43" ht="11.25" hidden="1" customHeight="1"/>
    <row r="124" spans="1:43" ht="11.25" customHeight="1">
      <c r="E124" s="1234"/>
    </row>
    <row r="125" spans="1:43" ht="11.25" customHeight="1">
      <c r="E125" s="1234"/>
    </row>
    <row r="126" spans="1:43" ht="11.25" customHeight="1">
      <c r="E126" s="1234"/>
    </row>
    <row r="127" spans="1:43" ht="11.25" customHeight="1">
      <c r="E127" s="1234"/>
    </row>
    <row r="128" spans="1:43" ht="11.25" customHeight="1">
      <c r="E128" s="1234"/>
    </row>
    <row r="129" spans="5:5" ht="11.25" customHeight="1">
      <c r="E129" s="1234"/>
    </row>
    <row r="130" spans="5:5" ht="11.25" customHeight="1">
      <c r="E130" s="1234"/>
    </row>
  </sheetData>
  <sheetProtection formatColumns="0" formatRows="0" insertRows="0" deleteColumns="0" deleteRows="0" sort="0" autoFilter="0"/>
  <mergeCells count="331">
    <mergeCell ref="M84:M86"/>
    <mergeCell ref="N84:N86"/>
    <mergeCell ref="O84:O86"/>
    <mergeCell ref="P84:P85"/>
    <mergeCell ref="Q84:Q85"/>
    <mergeCell ref="R84:R85"/>
    <mergeCell ref="S84:S85"/>
    <mergeCell ref="D84:D88"/>
    <mergeCell ref="E84:E88"/>
    <mergeCell ref="F84:F88"/>
    <mergeCell ref="G84:G88"/>
    <mergeCell ref="H84:H87"/>
    <mergeCell ref="I84:I87"/>
    <mergeCell ref="J84:J87"/>
    <mergeCell ref="K84:K87"/>
    <mergeCell ref="L84:L86"/>
    <mergeCell ref="M79:M81"/>
    <mergeCell ref="N79:N81"/>
    <mergeCell ref="O79:O81"/>
    <mergeCell ref="P79:P80"/>
    <mergeCell ref="Q79:Q80"/>
    <mergeCell ref="R79:R80"/>
    <mergeCell ref="S79:S80"/>
    <mergeCell ref="D74:D78"/>
    <mergeCell ref="E74:E78"/>
    <mergeCell ref="M74:M76"/>
    <mergeCell ref="D79:D83"/>
    <mergeCell ref="E79:E83"/>
    <mergeCell ref="F79:F83"/>
    <mergeCell ref="G79:G83"/>
    <mergeCell ref="H79:H82"/>
    <mergeCell ref="I79:I82"/>
    <mergeCell ref="J79:J82"/>
    <mergeCell ref="K79:K82"/>
    <mergeCell ref="L79:L81"/>
    <mergeCell ref="F74:F78"/>
    <mergeCell ref="G74:G78"/>
    <mergeCell ref="H74:H77"/>
    <mergeCell ref="I74:I77"/>
    <mergeCell ref="J74:J77"/>
    <mergeCell ref="L74:L76"/>
    <mergeCell ref="Q69:Q70"/>
    <mergeCell ref="R69:R70"/>
    <mergeCell ref="S69:S70"/>
    <mergeCell ref="K69:K72"/>
    <mergeCell ref="K64:K67"/>
    <mergeCell ref="N69:N71"/>
    <mergeCell ref="O69:O71"/>
    <mergeCell ref="P69:P70"/>
    <mergeCell ref="S74:S75"/>
    <mergeCell ref="N74:N76"/>
    <mergeCell ref="O74:O76"/>
    <mergeCell ref="P74:P75"/>
    <mergeCell ref="Q74:Q75"/>
    <mergeCell ref="R74:R75"/>
    <mergeCell ref="L69:L71"/>
    <mergeCell ref="N64:N66"/>
    <mergeCell ref="O64:O66"/>
    <mergeCell ref="P64:P65"/>
    <mergeCell ref="Q64:Q65"/>
    <mergeCell ref="R64:R65"/>
    <mergeCell ref="S64:S65"/>
    <mergeCell ref="M69:M71"/>
    <mergeCell ref="W9:W10"/>
    <mergeCell ref="O9:R9"/>
    <mergeCell ref="K9:N9"/>
    <mergeCell ref="T11:U11"/>
    <mergeCell ref="S9:V9"/>
    <mergeCell ref="T10:U10"/>
    <mergeCell ref="D64:D68"/>
    <mergeCell ref="E64:E68"/>
    <mergeCell ref="D69:D73"/>
    <mergeCell ref="E69:E73"/>
    <mergeCell ref="F69:F73"/>
    <mergeCell ref="G69:G73"/>
    <mergeCell ref="H69:H72"/>
    <mergeCell ref="I69:I72"/>
    <mergeCell ref="J69:J72"/>
    <mergeCell ref="F64:F68"/>
    <mergeCell ref="G64:G68"/>
    <mergeCell ref="H64:H67"/>
    <mergeCell ref="I64:I67"/>
    <mergeCell ref="J64:J67"/>
    <mergeCell ref="K13:K16"/>
    <mergeCell ref="G18:G22"/>
    <mergeCell ref="K18:K21"/>
    <mergeCell ref="N23:N25"/>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S18:S19"/>
    <mergeCell ref="M90:M92"/>
    <mergeCell ref="N90:N92"/>
    <mergeCell ref="O90:O92"/>
    <mergeCell ref="P90:P91"/>
    <mergeCell ref="Q90:Q91"/>
    <mergeCell ref="R90:R91"/>
    <mergeCell ref="S90:S91"/>
    <mergeCell ref="O48:O50"/>
    <mergeCell ref="E62:W62"/>
    <mergeCell ref="E54:W54"/>
    <mergeCell ref="E55:W55"/>
    <mergeCell ref="E56:W56"/>
    <mergeCell ref="E57:W57"/>
    <mergeCell ref="E58:W58"/>
    <mergeCell ref="L64:L66"/>
    <mergeCell ref="M64:M66"/>
    <mergeCell ref="E60:W60"/>
    <mergeCell ref="E61:W61"/>
    <mergeCell ref="K74:K77"/>
    <mergeCell ref="E38:E42"/>
    <mergeCell ref="F38:F42"/>
    <mergeCell ref="H38:H41"/>
    <mergeCell ref="G38:G42"/>
    <mergeCell ref="R13:R14"/>
    <mergeCell ref="S13:S14"/>
    <mergeCell ref="M43:M45"/>
    <mergeCell ref="N43:N45"/>
    <mergeCell ref="O43:O45"/>
    <mergeCell ref="N33:N35"/>
    <mergeCell ref="D90:D94"/>
    <mergeCell ref="E90:E94"/>
    <mergeCell ref="F90:F94"/>
    <mergeCell ref="G90:G94"/>
    <mergeCell ref="H90:H93"/>
    <mergeCell ref="I90:I93"/>
    <mergeCell ref="J90:J93"/>
    <mergeCell ref="K90:K93"/>
    <mergeCell ref="L90:L92"/>
    <mergeCell ref="P48:P49"/>
    <mergeCell ref="Q48:Q49"/>
    <mergeCell ref="R48:R49"/>
    <mergeCell ref="S48:S49"/>
    <mergeCell ref="P43:P44"/>
    <mergeCell ref="Q43:Q44"/>
    <mergeCell ref="R43:R44"/>
    <mergeCell ref="S43:S44"/>
    <mergeCell ref="S23:S24"/>
    <mergeCell ref="P100:P101"/>
    <mergeCell ref="Q100:Q101"/>
    <mergeCell ref="R100:R101"/>
    <mergeCell ref="S100:S101"/>
    <mergeCell ref="D95:D99"/>
    <mergeCell ref="E95:E99"/>
    <mergeCell ref="F95:F99"/>
    <mergeCell ref="G95:G99"/>
    <mergeCell ref="H95:H98"/>
    <mergeCell ref="I95:I98"/>
    <mergeCell ref="J95:J98"/>
    <mergeCell ref="K95:K98"/>
    <mergeCell ref="L95:L97"/>
    <mergeCell ref="S106:S107"/>
    <mergeCell ref="D106:D110"/>
    <mergeCell ref="E106:E110"/>
    <mergeCell ref="F106:F110"/>
    <mergeCell ref="G106:G110"/>
    <mergeCell ref="M95:M97"/>
    <mergeCell ref="N95:N97"/>
    <mergeCell ref="O95:O97"/>
    <mergeCell ref="P95:P96"/>
    <mergeCell ref="Q95:Q96"/>
    <mergeCell ref="R95:R96"/>
    <mergeCell ref="S95:S96"/>
    <mergeCell ref="D100:D104"/>
    <mergeCell ref="E100:E104"/>
    <mergeCell ref="F100:F104"/>
    <mergeCell ref="G100:G104"/>
    <mergeCell ref="H100:H103"/>
    <mergeCell ref="I100:I103"/>
    <mergeCell ref="J100:J103"/>
    <mergeCell ref="K100:K103"/>
    <mergeCell ref="L100:L102"/>
    <mergeCell ref="M100:M102"/>
    <mergeCell ref="N100:N102"/>
    <mergeCell ref="O100:O102"/>
    <mergeCell ref="O106:O108"/>
    <mergeCell ref="M111:M113"/>
    <mergeCell ref="N111:N113"/>
    <mergeCell ref="O111:O113"/>
    <mergeCell ref="P106:P107"/>
    <mergeCell ref="Q106:Q107"/>
    <mergeCell ref="R106:R107"/>
    <mergeCell ref="P111:P112"/>
    <mergeCell ref="Q111:Q112"/>
    <mergeCell ref="R111:R112"/>
    <mergeCell ref="K111:K114"/>
    <mergeCell ref="L111:L113"/>
    <mergeCell ref="H106:H109"/>
    <mergeCell ref="I106:I109"/>
    <mergeCell ref="J106:J109"/>
    <mergeCell ref="K106:K109"/>
    <mergeCell ref="L106:L108"/>
    <mergeCell ref="M106:M108"/>
    <mergeCell ref="N106:N108"/>
    <mergeCell ref="S111:S112"/>
    <mergeCell ref="D116:D120"/>
    <mergeCell ref="E116:E120"/>
    <mergeCell ref="F116:F120"/>
    <mergeCell ref="G116:G120"/>
    <mergeCell ref="H116:H119"/>
    <mergeCell ref="I116:I119"/>
    <mergeCell ref="J116:J119"/>
    <mergeCell ref="K116:K119"/>
    <mergeCell ref="L116:L118"/>
    <mergeCell ref="M116:M118"/>
    <mergeCell ref="N116:N118"/>
    <mergeCell ref="O116:O118"/>
    <mergeCell ref="P116:P117"/>
    <mergeCell ref="Q116:Q117"/>
    <mergeCell ref="R116:R117"/>
    <mergeCell ref="S116:S117"/>
    <mergeCell ref="D111:D115"/>
    <mergeCell ref="E111:E115"/>
    <mergeCell ref="F111:F115"/>
    <mergeCell ref="G111:G115"/>
    <mergeCell ref="H111:H114"/>
    <mergeCell ref="I111:I114"/>
    <mergeCell ref="J111:J114"/>
  </mergeCells>
  <dataValidations count="4">
    <dataValidation allowBlank="1" showInputMessage="1" showErrorMessage="1" prompt="Выберите виды деятельности, выполнив двойной щелчок левой кнопки мыши по ячейке." sqref="G13:G52 G64:G88 G90:G104 G106:G12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64:N66 N79:N81 N84:N86 N69:N71 N74:N76 N48:N50 N90:N92 N95:N97 N100:N102 N111:N113 N106:N108 N116:N118">
      <formula1>DESCRIPTION_TERRITORY</formula1>
    </dataValidation>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64:J65 R64:R65 V64:W64 J69:J70 R69:R70 V69:W69 J79:J80 R79:R80 V79:W79 J74:J75 R74:R75 V74:W74 J84:J85 R84:R85 V84:W84 J48:J49 R48:R49 V48:W48 J90:J91 R90:R91 V90:W90 J95:J96 R95:R96 V95:W95 J100:J101 R100:R101 V100:W100 J111:J112 R111:R112 V111:W111 J106:J107 R106:R107 V106:W106 J116:J117 R116:R117 V116:W116">
      <formula1>900</formula1>
    </dataValidation>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F13:F52 O13:O14 S13:S14 K28:K29 O28:O29 S28:S29 K64:K65 O64:O65 S64:S65 K69:K70 O69:O70 S69:S70 K79:K80 O79:O80 S79:S80 K74:K75 O74:O75 K84:K85 O84:O85 S48:S49 S74:S75 S84:S85 K48:K49 O48:O49 F64:F88 O90:O91 S90:S91 O95:O96 S95:S96 S100:S101 K90:K91 K95:K96 K100:K101 O100:O101 F90:F104 K111:K112 O111:O112 K106:K107 O106:O107 S111:S112 F106:F120 S106:S107 K116:K117 O116:O117 S116:S11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workbookViewId="0"/>
  </sheetViews>
  <sheetFormatPr defaultColWidth="10.5703125" defaultRowHeight="14.25" customHeight="1"/>
  <cols>
    <col min="1" max="1" width="10.5703125" style="1759" hidden="1"/>
    <col min="2" max="2" width="11" style="1759" hidden="1" customWidth="1"/>
    <col min="3" max="3" width="10.5703125" style="1759" hidden="1"/>
    <col min="4" max="4" width="11.85546875" style="1759" hidden="1" customWidth="1"/>
    <col min="5" max="5" width="10" style="1759" hidden="1" customWidth="1"/>
    <col min="6" max="6" width="8.7109375" style="1759" hidden="1" customWidth="1"/>
    <col min="7" max="7" width="7.5703125" style="1759" hidden="1" customWidth="1"/>
    <col min="8" max="8" width="11.42578125" style="1759" hidden="1" customWidth="1"/>
    <col min="9" max="9" width="14.140625" style="1759" hidden="1" customWidth="1"/>
    <col min="10" max="10" width="9.85546875" style="1759" hidden="1" customWidth="1"/>
    <col min="11" max="11" width="14.7109375" style="1759" hidden="1" customWidth="1"/>
    <col min="12" max="12" width="19.140625" style="1758" hidden="1" customWidth="1"/>
    <col min="13" max="14" width="12.28515625" style="1686" hidden="1" customWidth="1"/>
    <col min="15" max="15" width="23.42578125" style="1686" hidden="1" customWidth="1"/>
    <col min="16" max="16" width="3.7109375" style="1740" customWidth="1"/>
    <col min="17" max="18" width="3.7109375" style="1677" customWidth="1"/>
    <col min="19" max="19" width="12.7109375" style="1727" customWidth="1"/>
    <col min="20" max="20" width="35.7109375" style="1846" customWidth="1"/>
    <col min="21" max="21" width="0.140625" style="1846" customWidth="1"/>
    <col min="22" max="24" width="24.7109375" style="1846" hidden="1" customWidth="1"/>
    <col min="25" max="25" width="11.7109375" style="1846" hidden="1" customWidth="1"/>
    <col min="26" max="26" width="3.7109375" style="1846" hidden="1" customWidth="1"/>
    <col min="27" max="27" width="11.7109375" style="1846" hidden="1" customWidth="1"/>
    <col min="28" max="28" width="8.5703125" style="1846" hidden="1" customWidth="1"/>
    <col min="29" max="31" width="24.7109375" style="1846" customWidth="1"/>
    <col min="32" max="32" width="11.7109375" style="1846" customWidth="1"/>
    <col min="33" max="33" width="3.7109375" style="1846" customWidth="1"/>
    <col min="34" max="34" width="11.7109375" style="1846" customWidth="1"/>
    <col min="35" max="35" width="8.5703125" style="1846" hidden="1" customWidth="1"/>
    <col min="36" max="36" width="4.7109375" style="1846" customWidth="1"/>
    <col min="37" max="37" width="115.7109375" style="1846" customWidth="1"/>
    <col min="38" max="39" width="10.5703125" style="1772"/>
    <col min="40" max="40" width="11.140625" style="1772" customWidth="1"/>
    <col min="41" max="42" width="10.5703125" style="1772"/>
  </cols>
  <sheetData>
    <row r="1" spans="1:42" ht="14.25" hidden="1" customHeight="1">
      <c r="X1" s="254"/>
      <c r="Y1" s="254"/>
      <c r="AE1" s="254"/>
      <c r="AF1" s="254"/>
    </row>
    <row r="2" spans="1:42" ht="23.25" hidden="1" customHeight="1">
      <c r="A2" s="1244"/>
      <c r="B2" s="1244"/>
      <c r="C2" s="1244"/>
      <c r="D2" s="1244"/>
      <c r="E2" s="2235">
        <v>1</v>
      </c>
      <c r="F2" s="1244"/>
      <c r="G2" s="1244"/>
      <c r="H2" s="1244"/>
      <c r="I2" s="1244"/>
      <c r="J2" s="1244"/>
      <c r="K2" s="1244"/>
      <c r="L2" s="1245"/>
      <c r="M2" s="1246"/>
      <c r="N2" s="1246"/>
      <c r="O2" s="1246"/>
      <c r="P2" s="285"/>
      <c r="Q2" s="284"/>
      <c r="R2" s="279"/>
      <c r="S2" s="1355" t="e">
        <f>INDEX(PT_DIFFERENTIATION_NUM_NTAR,MATCH(A2,PT_DIFFERENTIATION_NTAR_ID,0))</f>
        <v>#N/A</v>
      </c>
      <c r="T2" s="216" t="s">
        <v>124</v>
      </c>
      <c r="U2" s="218"/>
      <c r="V2" s="2229"/>
      <c r="W2" s="2230"/>
      <c r="X2" s="2230"/>
      <c r="Y2" s="2230"/>
      <c r="Z2" s="2230"/>
      <c r="AA2" s="2230"/>
      <c r="AB2" s="2231"/>
      <c r="AC2" s="2229" t="e">
        <f>INDEX(PT_DIFFERENTIATION_NTAR,MATCH(A2,PT_DIFFERENTIATION_NTAR_ID,0))</f>
        <v>#N/A</v>
      </c>
      <c r="AD2" s="2230"/>
      <c r="AE2" s="2230"/>
      <c r="AF2" s="2230"/>
      <c r="AG2" s="2230"/>
      <c r="AH2" s="2230"/>
      <c r="AI2" s="2230"/>
      <c r="AJ2" s="2231"/>
      <c r="AK2" s="114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8"/>
      <c r="AN2" s="428" t="str">
        <f t="shared" ref="AN2:AN13" si="0">IF(T2="","",T2)</f>
        <v>Наименование тарифа</v>
      </c>
      <c r="AO2" s="428"/>
      <c r="AP2" s="428"/>
    </row>
    <row r="3" spans="1:42" ht="23.25" hidden="1" customHeight="1">
      <c r="A3" s="1244"/>
      <c r="B3" s="1244"/>
      <c r="C3" s="1244"/>
      <c r="D3" s="1244"/>
      <c r="E3" s="2236"/>
      <c r="F3" s="2235">
        <v>1</v>
      </c>
      <c r="G3" s="1244"/>
      <c r="H3" s="1244"/>
      <c r="I3" s="1244"/>
      <c r="J3" s="1244"/>
      <c r="K3" s="1244"/>
      <c r="L3" s="1245"/>
      <c r="M3" s="1246"/>
      <c r="N3" s="1246"/>
      <c r="O3" s="1246"/>
      <c r="P3" s="1349"/>
      <c r="Q3" s="276"/>
      <c r="R3" s="277"/>
      <c r="S3" s="1355" t="e">
        <f>INDEX(PT_DIFFERENTIATION_NUM_TER,MATCH(B3,PT_DIFFERENTIATION_TER_ID,0))</f>
        <v>#N/A</v>
      </c>
      <c r="T3" s="228" t="s">
        <v>1461</v>
      </c>
      <c r="U3" s="218"/>
      <c r="V3" s="2229"/>
      <c r="W3" s="2230"/>
      <c r="X3" s="2230"/>
      <c r="Y3" s="2230"/>
      <c r="Z3" s="2230"/>
      <c r="AA3" s="2230"/>
      <c r="AB3" s="2231"/>
      <c r="AC3" s="2229" t="e">
        <f>INDEX(PT_DIFFERENTIATION_TER,MATCH(B3,PT_DIFFERENTIATION_TER_ID,0))</f>
        <v>#N/A</v>
      </c>
      <c r="AD3" s="2230"/>
      <c r="AE3" s="2230"/>
      <c r="AF3" s="2230"/>
      <c r="AG3" s="2230"/>
      <c r="AH3" s="2230"/>
      <c r="AI3" s="2230"/>
      <c r="AJ3" s="2231"/>
      <c r="AK3" s="1140" t="s">
        <v>1462</v>
      </c>
      <c r="AM3" s="428"/>
      <c r="AN3" s="428" t="str">
        <f t="shared" si="0"/>
        <v>Территория действия тарифа</v>
      </c>
      <c r="AO3" s="428"/>
      <c r="AP3" s="428"/>
    </row>
    <row r="4" spans="1:42" ht="23.25" hidden="1" customHeight="1">
      <c r="A4" s="1244"/>
      <c r="B4" s="1244"/>
      <c r="C4" s="1244"/>
      <c r="D4" s="1244"/>
      <c r="E4" s="2236"/>
      <c r="F4" s="2236"/>
      <c r="G4" s="2235">
        <v>1</v>
      </c>
      <c r="H4" s="1244"/>
      <c r="I4" s="1244"/>
      <c r="J4" s="1244"/>
      <c r="K4" s="1244"/>
      <c r="L4" s="1245"/>
      <c r="M4" s="1246"/>
      <c r="N4" s="1246"/>
      <c r="O4" s="1246"/>
      <c r="P4" s="278"/>
      <c r="Q4" s="276"/>
      <c r="R4" s="277"/>
      <c r="S4" s="1355" t="e">
        <f>INDEX(PT_DIFFERENTIATION_NUM_CS,MATCH(C4,PT_DIFFERENTIATION_CS_ID,0))</f>
        <v>#N/A</v>
      </c>
      <c r="T4" s="229" t="s">
        <v>2098</v>
      </c>
      <c r="U4" s="218"/>
      <c r="V4" s="2229"/>
      <c r="W4" s="2230"/>
      <c r="X4" s="2230"/>
      <c r="Y4" s="2230"/>
      <c r="Z4" s="2230"/>
      <c r="AA4" s="2230"/>
      <c r="AB4" s="2231"/>
      <c r="AC4" s="2229" t="e">
        <f>INDEX(PT_DIFFERENTIATION_CS,MATCH(C4,PT_DIFFERENTIATION_CS_ID,0))</f>
        <v>#N/A</v>
      </c>
      <c r="AD4" s="2230"/>
      <c r="AE4" s="2230"/>
      <c r="AF4" s="2230"/>
      <c r="AG4" s="2230"/>
      <c r="AH4" s="2230"/>
      <c r="AI4" s="2230"/>
      <c r="AJ4" s="2231"/>
      <c r="AK4" s="1140" t="s">
        <v>2099</v>
      </c>
      <c r="AM4" s="428"/>
      <c r="AN4" s="428" t="str">
        <f t="shared" si="0"/>
        <v>Наименование централизованной системы горячего водоснабжения</v>
      </c>
      <c r="AO4" s="428"/>
      <c r="AP4" s="428"/>
    </row>
    <row r="5" spans="1:42" ht="23.25" hidden="1" customHeight="1">
      <c r="A5" s="1244"/>
      <c r="B5" s="1244"/>
      <c r="C5" s="1244"/>
      <c r="D5" s="1244"/>
      <c r="E5" s="2236"/>
      <c r="F5" s="2236"/>
      <c r="G5" s="2236"/>
      <c r="H5" s="2236"/>
      <c r="I5" s="2237" t="e">
        <f>S4&amp;".1"</f>
        <v>#N/A</v>
      </c>
      <c r="J5" s="1244"/>
      <c r="K5" s="1244"/>
      <c r="L5" s="1245"/>
      <c r="P5" s="2157">
        <v>1</v>
      </c>
      <c r="Q5" s="1343"/>
      <c r="R5" s="280"/>
      <c r="S5" s="1355" t="e">
        <f>$I5</f>
        <v>#N/A</v>
      </c>
      <c r="T5" s="203" t="s">
        <v>1678</v>
      </c>
      <c r="U5" s="218"/>
      <c r="V5" s="2327"/>
      <c r="W5" s="2328"/>
      <c r="X5" s="2328"/>
      <c r="Y5" s="2328"/>
      <c r="Z5" s="2328"/>
      <c r="AA5" s="2328"/>
      <c r="AB5" s="2329"/>
      <c r="AC5" s="2330"/>
      <c r="AD5" s="2331"/>
      <c r="AE5" s="2331"/>
      <c r="AF5" s="2331"/>
      <c r="AG5" s="2331"/>
      <c r="AH5" s="2331"/>
      <c r="AI5" s="2331"/>
      <c r="AJ5" s="2332"/>
      <c r="AK5" s="1140" t="s">
        <v>1679</v>
      </c>
      <c r="AM5" s="428"/>
      <c r="AN5" s="428" t="str">
        <f t="shared" si="0"/>
        <v>Наименование признака дифференциации</v>
      </c>
      <c r="AO5" s="428"/>
      <c r="AP5" s="428"/>
    </row>
    <row r="6" spans="1:42" ht="23.25" hidden="1" customHeight="1">
      <c r="A6" s="1244"/>
      <c r="B6" s="1244"/>
      <c r="C6" s="1244"/>
      <c r="D6" s="1244"/>
      <c r="E6" s="2236"/>
      <c r="F6" s="2236"/>
      <c r="G6" s="2236"/>
      <c r="H6" s="2236"/>
      <c r="I6" s="2238"/>
      <c r="J6" s="2237" t="e">
        <f>I5&amp;".1"</f>
        <v>#N/A</v>
      </c>
      <c r="K6" s="1244"/>
      <c r="L6" s="1245" t="s">
        <v>1470</v>
      </c>
      <c r="P6" s="2157"/>
      <c r="Q6" s="2157">
        <v>1</v>
      </c>
      <c r="R6" s="281"/>
      <c r="S6" s="1355" t="e">
        <f>$J6</f>
        <v>#N/A</v>
      </c>
      <c r="T6" s="204" t="s">
        <v>1471</v>
      </c>
      <c r="U6" s="218"/>
      <c r="V6" s="2224"/>
      <c r="W6" s="2225"/>
      <c r="X6" s="2225"/>
      <c r="Y6" s="2225"/>
      <c r="Z6" s="2225"/>
      <c r="AA6" s="2225"/>
      <c r="AB6" s="2226"/>
      <c r="AC6" s="2224"/>
      <c r="AD6" s="2225"/>
      <c r="AE6" s="2225"/>
      <c r="AF6" s="2225"/>
      <c r="AG6" s="2225"/>
      <c r="AH6" s="2225"/>
      <c r="AI6" s="2225"/>
      <c r="AJ6" s="2226"/>
      <c r="AK6" s="1194" t="s">
        <v>1680</v>
      </c>
      <c r="AM6" s="428"/>
      <c r="AN6" s="428" t="str">
        <f t="shared" si="0"/>
        <v>Группа потребителей</v>
      </c>
      <c r="AO6" s="428"/>
      <c r="AP6" s="428"/>
    </row>
    <row r="7" spans="1:42" ht="23.25" hidden="1" customHeight="1">
      <c r="A7" s="1244"/>
      <c r="B7" s="1244"/>
      <c r="C7" s="1244"/>
      <c r="D7" s="1244"/>
      <c r="E7" s="2236"/>
      <c r="F7" s="2236"/>
      <c r="G7" s="2236"/>
      <c r="H7" s="2236"/>
      <c r="I7" s="2238"/>
      <c r="J7" s="2238"/>
      <c r="K7" s="2237" t="e">
        <f>J6&amp;".1"</f>
        <v>#N/A</v>
      </c>
      <c r="L7" s="1245"/>
      <c r="P7" s="2157"/>
      <c r="Q7" s="2157"/>
      <c r="R7" s="281">
        <v>1</v>
      </c>
      <c r="S7" s="1355" t="e">
        <f>$K7</f>
        <v>#N/A</v>
      </c>
      <c r="T7" s="1306"/>
      <c r="U7" s="218"/>
      <c r="V7" s="1667"/>
      <c r="W7" s="1667"/>
      <c r="X7" s="1669"/>
      <c r="Y7" s="2239"/>
      <c r="Z7" s="2031" t="s">
        <v>66</v>
      </c>
      <c r="AA7" s="2239"/>
      <c r="AB7" s="2031" t="s">
        <v>66</v>
      </c>
      <c r="AC7" s="1667"/>
      <c r="AD7" s="1667"/>
      <c r="AE7" s="1669"/>
      <c r="AF7" s="2239"/>
      <c r="AG7" s="2031" t="s">
        <v>66</v>
      </c>
      <c r="AH7" s="2241"/>
      <c r="AI7" s="2031" t="s">
        <v>66</v>
      </c>
      <c r="AJ7" s="1706"/>
      <c r="AK7" s="233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9" t="e">
        <f ca="1">STRCHECKDATE(V8:AJ8)</f>
        <v>#NAME?</v>
      </c>
      <c r="AM7" s="428"/>
      <c r="AN7" s="428" t="str">
        <f t="shared" si="0"/>
        <v/>
      </c>
      <c r="AO7" s="428"/>
      <c r="AP7" s="428"/>
    </row>
    <row r="8" spans="1:42" ht="0.75" hidden="1" customHeight="1">
      <c r="A8" s="1244"/>
      <c r="B8" s="1244"/>
      <c r="C8" s="1244"/>
      <c r="D8" s="1244"/>
      <c r="E8" s="2236"/>
      <c r="F8" s="2236"/>
      <c r="G8" s="2236"/>
      <c r="H8" s="2236"/>
      <c r="I8" s="2238"/>
      <c r="J8" s="2238"/>
      <c r="K8" s="2237"/>
      <c r="L8" s="1245"/>
      <c r="P8" s="2157"/>
      <c r="Q8" s="2157"/>
      <c r="R8" s="281"/>
      <c r="S8" s="1352"/>
      <c r="T8" s="218"/>
      <c r="U8" s="218"/>
      <c r="V8" s="1668"/>
      <c r="W8" s="1668"/>
      <c r="X8" s="1670" t="str">
        <f>Y7&amp;"-"&amp;AA7</f>
        <v>-</v>
      </c>
      <c r="Y8" s="2240"/>
      <c r="Z8" s="2031"/>
      <c r="AA8" s="2240"/>
      <c r="AB8" s="2031"/>
      <c r="AC8" s="1668"/>
      <c r="AD8" s="1668"/>
      <c r="AE8" s="1670" t="str">
        <f>AF7&amp;"-"&amp;AH7</f>
        <v>-</v>
      </c>
      <c r="AF8" s="2240"/>
      <c r="AG8" s="2031"/>
      <c r="AH8" s="2242"/>
      <c r="AI8" s="2031"/>
      <c r="AJ8" s="1707"/>
      <c r="AK8" s="2333"/>
      <c r="AM8" s="428"/>
      <c r="AN8" s="428" t="str">
        <f t="shared" si="0"/>
        <v/>
      </c>
      <c r="AO8" s="428"/>
      <c r="AP8" s="428"/>
    </row>
    <row r="9" spans="1:42" ht="21" hidden="1" customHeight="1">
      <c r="A9" s="1244"/>
      <c r="B9" s="1244"/>
      <c r="C9" s="1244"/>
      <c r="D9" s="1244"/>
      <c r="E9" s="2236"/>
      <c r="F9" s="2236"/>
      <c r="G9" s="2236"/>
      <c r="H9" s="2236"/>
      <c r="I9" s="2238"/>
      <c r="J9" s="2237"/>
      <c r="K9" s="1244"/>
      <c r="L9" s="1245"/>
      <c r="P9" s="2157"/>
      <c r="Q9" s="2157"/>
      <c r="R9" s="280"/>
      <c r="S9" s="1161"/>
      <c r="T9" s="205" t="s">
        <v>1681</v>
      </c>
      <c r="U9" s="294"/>
      <c r="V9" s="294"/>
      <c r="W9" s="294"/>
      <c r="X9" s="294"/>
      <c r="Y9" s="294"/>
      <c r="Z9" s="294"/>
      <c r="AA9" s="294"/>
      <c r="AB9" s="294"/>
      <c r="AC9" s="294"/>
      <c r="AD9" s="294"/>
      <c r="AE9" s="294"/>
      <c r="AF9" s="294"/>
      <c r="AG9" s="294"/>
      <c r="AH9" s="294"/>
      <c r="AI9" s="294"/>
      <c r="AJ9" s="294"/>
      <c r="AK9" s="1140" t="s">
        <v>1682</v>
      </c>
      <c r="AM9" s="428"/>
      <c r="AN9" s="428" t="str">
        <f t="shared" si="0"/>
        <v>Добавить значение признака дифференциации</v>
      </c>
      <c r="AO9" s="428"/>
      <c r="AP9" s="428"/>
    </row>
    <row r="10" spans="1:42" ht="21" hidden="1" customHeight="1">
      <c r="A10" s="1244"/>
      <c r="B10" s="1244"/>
      <c r="C10" s="1244"/>
      <c r="D10" s="1244"/>
      <c r="E10" s="2236"/>
      <c r="F10" s="2236"/>
      <c r="G10" s="2236"/>
      <c r="H10" s="2236"/>
      <c r="I10" s="2237"/>
      <c r="J10" s="1244"/>
      <c r="K10" s="1244"/>
      <c r="L10" s="1245"/>
      <c r="P10" s="2157"/>
      <c r="Q10" s="1343"/>
      <c r="R10" s="280"/>
      <c r="S10" s="1161"/>
      <c r="T10" s="291" t="s">
        <v>1476</v>
      </c>
      <c r="U10" s="294"/>
      <c r="V10" s="294"/>
      <c r="W10" s="294"/>
      <c r="X10" s="294"/>
      <c r="Y10" s="294"/>
      <c r="Z10" s="294"/>
      <c r="AA10" s="294"/>
      <c r="AB10" s="293"/>
      <c r="AC10" s="294"/>
      <c r="AD10" s="294"/>
      <c r="AE10" s="294"/>
      <c r="AF10" s="294"/>
      <c r="AG10" s="294"/>
      <c r="AH10" s="294"/>
      <c r="AI10" s="293"/>
      <c r="AJ10" s="294"/>
      <c r="AK10" s="1307"/>
      <c r="AM10" s="428"/>
      <c r="AN10" s="428" t="str">
        <f t="shared" si="0"/>
        <v>Добавить группу потребителей</v>
      </c>
      <c r="AO10" s="428"/>
      <c r="AP10" s="428"/>
    </row>
    <row r="11" spans="1:42" ht="21" hidden="1" customHeight="1">
      <c r="A11" s="1244"/>
      <c r="B11" s="1244"/>
      <c r="C11" s="1244"/>
      <c r="D11" s="1244"/>
      <c r="E11" s="2236"/>
      <c r="F11" s="2236"/>
      <c r="G11" s="2236"/>
      <c r="H11" s="2235"/>
      <c r="I11" s="1244"/>
      <c r="J11" s="1244"/>
      <c r="K11" s="1244"/>
      <c r="L11" s="1245"/>
      <c r="M11" s="1246"/>
      <c r="N11" s="1246"/>
      <c r="O11" s="464"/>
      <c r="P11" s="284"/>
      <c r="Q11" s="303"/>
      <c r="R11" s="279"/>
      <c r="S11" s="1161"/>
      <c r="T11" s="299" t="s">
        <v>1683</v>
      </c>
      <c r="U11" s="294"/>
      <c r="V11" s="294"/>
      <c r="W11" s="294"/>
      <c r="X11" s="294"/>
      <c r="Y11" s="294"/>
      <c r="Z11" s="294"/>
      <c r="AA11" s="294"/>
      <c r="AB11" s="293"/>
      <c r="AC11" s="294"/>
      <c r="AD11" s="294"/>
      <c r="AE11" s="294"/>
      <c r="AF11" s="294"/>
      <c r="AG11" s="294"/>
      <c r="AH11" s="294"/>
      <c r="AI11" s="293"/>
      <c r="AJ11" s="294"/>
      <c r="AK11" s="221"/>
      <c r="AM11" s="428"/>
      <c r="AN11" s="428" t="str">
        <f t="shared" si="0"/>
        <v>Добавить наименование признака дифференциации</v>
      </c>
      <c r="AO11" s="428"/>
      <c r="AP11" s="428"/>
    </row>
    <row r="12" spans="1:42" s="1772" customFormat="1" ht="0.75" hidden="1" customHeight="1">
      <c r="A12" s="1228"/>
      <c r="B12" s="1228"/>
      <c r="C12" s="1200"/>
      <c r="D12" s="1200"/>
      <c r="E12" s="2236"/>
      <c r="F12" s="2235"/>
      <c r="G12" s="1200"/>
      <c r="H12" s="1200"/>
      <c r="I12" s="1200"/>
      <c r="J12" s="1200"/>
      <c r="K12" s="1200"/>
      <c r="L12" s="1356"/>
      <c r="M12" s="1207"/>
      <c r="N12" s="1207"/>
      <c r="P12" s="1202"/>
      <c r="Q12" s="1203"/>
      <c r="R12" s="1202"/>
      <c r="S12" s="1208"/>
      <c r="T12" s="1211" t="s">
        <v>1437</v>
      </c>
      <c r="U12" s="1210"/>
      <c r="V12" s="1210"/>
      <c r="W12" s="1210"/>
      <c r="X12" s="1210"/>
      <c r="Y12" s="1210"/>
      <c r="Z12" s="1210"/>
      <c r="AA12" s="1210"/>
      <c r="AB12" s="1210"/>
      <c r="AC12" s="1210"/>
      <c r="AD12" s="1210"/>
      <c r="AE12" s="1210"/>
      <c r="AF12" s="1210"/>
      <c r="AG12" s="1210"/>
      <c r="AH12" s="1210"/>
      <c r="AI12" s="1210"/>
      <c r="AJ12" s="1210"/>
      <c r="AK12" s="1210"/>
      <c r="AM12" s="696"/>
      <c r="AN12" s="696" t="str">
        <f t="shared" si="0"/>
        <v>Добавить централизованную систему для дифференциации</v>
      </c>
      <c r="AO12" s="696"/>
      <c r="AP12" s="696"/>
    </row>
    <row r="13" spans="1:42" s="1772" customFormat="1" ht="0.75" hidden="1" customHeight="1">
      <c r="A13" s="1228"/>
      <c r="B13" s="1228"/>
      <c r="C13" s="1228"/>
      <c r="D13" s="1228"/>
      <c r="E13" s="2235"/>
      <c r="F13" s="1228"/>
      <c r="G13" s="1228"/>
      <c r="H13" s="1228"/>
      <c r="I13" s="1228"/>
      <c r="J13" s="1228"/>
      <c r="K13" s="1228"/>
      <c r="L13" s="1231"/>
      <c r="M13" s="1207"/>
      <c r="N13" s="1207"/>
      <c r="O13" s="446"/>
      <c r="P13" s="311"/>
      <c r="Q13" s="1229"/>
      <c r="R13" s="311"/>
      <c r="S13" s="1208"/>
      <c r="T13" s="1211" t="s">
        <v>1438</v>
      </c>
      <c r="U13" s="1210"/>
      <c r="V13" s="1210"/>
      <c r="W13" s="1210"/>
      <c r="X13" s="1210"/>
      <c r="Y13" s="1210"/>
      <c r="Z13" s="1210"/>
      <c r="AA13" s="1210"/>
      <c r="AB13" s="1210"/>
      <c r="AC13" s="1210"/>
      <c r="AD13" s="1210"/>
      <c r="AE13" s="1210"/>
      <c r="AF13" s="1210"/>
      <c r="AG13" s="1210"/>
      <c r="AH13" s="1210"/>
      <c r="AI13" s="1210"/>
      <c r="AJ13" s="1210"/>
      <c r="AK13" s="1210"/>
      <c r="AM13" s="428"/>
      <c r="AN13" s="428" t="str">
        <f t="shared" si="0"/>
        <v>Добавить территорию для дифференциации</v>
      </c>
      <c r="AO13" s="428"/>
      <c r="AP13" s="428"/>
    </row>
    <row r="14" spans="1:42" ht="14.25" hidden="1" customHeight="1">
      <c r="AB14" s="254"/>
      <c r="AI14" s="254"/>
    </row>
    <row r="15" spans="1:42" ht="14.25" hidden="1" customHeight="1">
      <c r="AC15" s="1671"/>
      <c r="AD15" s="1671"/>
      <c r="AE15" s="1672"/>
      <c r="AF15" s="2233"/>
      <c r="AG15" s="2232" t="s">
        <v>66</v>
      </c>
      <c r="AH15" s="2233"/>
      <c r="AI15" s="2232" t="s">
        <v>66</v>
      </c>
    </row>
    <row r="16" spans="1:42" ht="14.25" hidden="1" customHeight="1">
      <c r="AC16" s="1671"/>
      <c r="AD16" s="1671"/>
      <c r="AE16" s="1670" t="str">
        <f>AF15&amp;"-"&amp;AH15</f>
        <v>-</v>
      </c>
      <c r="AF16" s="2232"/>
      <c r="AG16" s="2232"/>
      <c r="AH16" s="2232"/>
      <c r="AI16" s="2232"/>
    </row>
    <row r="17" spans="1:42" ht="14.25" hidden="1" customHeight="1">
      <c r="AI17" s="254"/>
    </row>
    <row r="18" spans="1:42" s="1759" customFormat="1" ht="14.25" hidden="1" customHeight="1">
      <c r="L18" s="1340"/>
      <c r="M18" s="1243"/>
      <c r="N18" s="1243"/>
      <c r="O18" s="1248" t="s">
        <v>1478</v>
      </c>
      <c r="P18" s="1243"/>
      <c r="Q18" s="1252"/>
      <c r="R18" s="1252"/>
      <c r="S18" s="644"/>
      <c r="Y18" s="1248"/>
      <c r="AA18" s="1248"/>
      <c r="AB18" s="1247"/>
      <c r="AF18" s="1248"/>
      <c r="AH18" s="1248"/>
      <c r="AI18" s="1247"/>
      <c r="AL18" s="439"/>
      <c r="AM18" s="439"/>
      <c r="AN18" s="439"/>
      <c r="AO18" s="439"/>
      <c r="AP18" s="439"/>
    </row>
    <row r="19" spans="1:42" s="1759" customFormat="1" ht="14.25" hidden="1" customHeight="1">
      <c r="L19" s="1340"/>
      <c r="M19" s="1243"/>
      <c r="N19" s="1243"/>
      <c r="O19" s="1243"/>
      <c r="P19" s="1243"/>
      <c r="Q19" s="1252"/>
      <c r="R19" s="1252"/>
      <c r="S19" s="644"/>
      <c r="AB19" s="1247"/>
      <c r="AI19" s="1247"/>
      <c r="AL19" s="439"/>
      <c r="AM19" s="439"/>
      <c r="AN19" s="439"/>
      <c r="AO19" s="439"/>
      <c r="AP19" s="439"/>
    </row>
    <row r="20" spans="1:42" s="1759" customFormat="1" ht="12" hidden="1" customHeight="1">
      <c r="L20" s="1340"/>
      <c r="M20" s="1243"/>
      <c r="N20" s="1243"/>
      <c r="O20" s="1245" t="s">
        <v>1479</v>
      </c>
      <c r="P20" s="1243"/>
      <c r="Q20" s="1308"/>
      <c r="R20" s="1308"/>
      <c r="S20" s="644"/>
      <c r="T20" s="1036" t="s">
        <v>1480</v>
      </c>
      <c r="Z20" s="111" t="s">
        <v>1481</v>
      </c>
      <c r="AB20" s="111" t="s">
        <v>1482</v>
      </c>
      <c r="AC20" s="1036" t="s">
        <v>1480</v>
      </c>
      <c r="AG20" s="111" t="s">
        <v>1483</v>
      </c>
      <c r="AI20" s="111" t="s">
        <v>1482</v>
      </c>
    </row>
    <row r="21" spans="1:42" ht="14.25" hidden="1" customHeight="1">
      <c r="O21" s="1245"/>
    </row>
    <row r="22" spans="1:42" ht="14.25" hidden="1" customHeight="1">
      <c r="O22" s="1245"/>
    </row>
    <row r="23" spans="1:42" ht="14.25" customHeight="1">
      <c r="Q23" s="304"/>
      <c r="R23" s="304"/>
      <c r="S23" s="1158"/>
      <c r="T23" s="289"/>
      <c r="U23" s="289"/>
      <c r="V23" s="437"/>
      <c r="W23" s="437"/>
      <c r="X23" s="437"/>
      <c r="Y23" s="437"/>
      <c r="Z23" s="437"/>
      <c r="AA23" s="437"/>
      <c r="AB23" s="437"/>
      <c r="AC23" s="437"/>
      <c r="AD23" s="437"/>
      <c r="AE23" s="437"/>
      <c r="AF23" s="437"/>
      <c r="AG23" s="437"/>
      <c r="AH23" s="437"/>
      <c r="AI23" s="437"/>
    </row>
    <row r="24" spans="1:42" ht="32.25" customHeight="1">
      <c r="Q24" s="304"/>
      <c r="R24" s="304"/>
      <c r="S24" s="2079" t="str">
        <f>IF(TEMPLATE_GROUP="P",PT_P_FORM_HOTVSNA_4_NAME_FORM,PT_R_FORM_HOTVSNA_16_NAME_FORM)</f>
        <v>Форма 16. Информация о предложении расчетной величины тарифов организации горячего водоснабжения об установлении тарифов в сфере горячего водоснабжения на очередной период регулирования &lt;1&gt;</v>
      </c>
      <c r="T24" s="2079"/>
      <c r="U24" s="2079"/>
      <c r="V24" s="2079"/>
      <c r="W24" s="2079"/>
      <c r="X24" s="2079"/>
      <c r="Y24" s="2079"/>
      <c r="Z24" s="2079"/>
      <c r="AA24" s="2079"/>
      <c r="AB24" s="2079"/>
      <c r="AC24" s="2079"/>
      <c r="AD24" s="2079"/>
      <c r="AE24" s="2079"/>
      <c r="AF24" s="2079"/>
      <c r="AG24" s="2079"/>
      <c r="AH24" s="2079"/>
      <c r="AI24" s="1116"/>
    </row>
    <row r="25" spans="1:42" ht="14.25" customHeight="1">
      <c r="Q25" s="304"/>
      <c r="R25" s="304"/>
      <c r="S25" s="2102" t="str">
        <f>IF(org=0,"Не определено",org)</f>
        <v>ООО "Автозаводская ТЭЦ"</v>
      </c>
      <c r="T25" s="2102"/>
      <c r="U25" s="2102"/>
      <c r="V25" s="2102"/>
      <c r="W25" s="2102"/>
      <c r="X25" s="2102"/>
      <c r="Y25" s="2102"/>
      <c r="Z25" s="2102"/>
      <c r="AA25" s="2102"/>
      <c r="AB25" s="2102"/>
      <c r="AC25" s="2102"/>
      <c r="AD25" s="2102"/>
      <c r="AE25" s="2102"/>
      <c r="AF25" s="2102"/>
      <c r="AG25" s="2102"/>
      <c r="AH25" s="2102"/>
      <c r="AI25" s="1116"/>
    </row>
    <row r="26" spans="1:42" ht="14.25" hidden="1" customHeight="1">
      <c r="Q26" s="304"/>
      <c r="R26" s="304"/>
      <c r="S26" s="1158"/>
      <c r="T26" s="289"/>
      <c r="U26" s="289"/>
      <c r="V26" s="248"/>
      <c r="W26" s="248"/>
      <c r="X26" s="248"/>
      <c r="Y26" s="248"/>
      <c r="Z26" s="248"/>
      <c r="AA26" s="248"/>
      <c r="AB26" s="248"/>
      <c r="AC26" s="248"/>
      <c r="AD26" s="248"/>
      <c r="AE26" s="248"/>
      <c r="AF26" s="248"/>
      <c r="AG26" s="248"/>
      <c r="AH26" s="248"/>
      <c r="AI26" s="248"/>
      <c r="AJ26" s="437"/>
    </row>
    <row r="27" spans="1:42" s="1950" customFormat="1" ht="25.5" hidden="1" customHeight="1">
      <c r="A27" s="1249"/>
      <c r="B27" s="1249"/>
      <c r="C27" s="1249"/>
      <c r="D27" s="1249"/>
      <c r="E27" s="1249"/>
      <c r="F27" s="1249"/>
      <c r="G27" s="1249"/>
      <c r="H27" s="1249"/>
      <c r="I27" s="1249"/>
      <c r="J27" s="1249"/>
      <c r="K27" s="1249"/>
      <c r="L27" s="1250"/>
      <c r="M27" s="1249"/>
      <c r="N27" s="1249"/>
      <c r="O27" s="1249"/>
      <c r="S27" s="2227" t="s">
        <v>38</v>
      </c>
      <c r="T27" s="2227"/>
      <c r="U27" s="1253"/>
      <c r="V27" s="2228" t="str">
        <f>IF(TITLE_NAME_OR_PR_CHANGE="",IF(TITLE_NAME_OR_PR="","",TITLE_NAME_OR_PR),TITLE_NAME_OR_PR_CHANGE)</f>
        <v/>
      </c>
      <c r="W27" s="2228"/>
      <c r="X27" s="2228"/>
      <c r="Y27" s="2228"/>
      <c r="Z27" s="2228"/>
      <c r="AA27" s="2228"/>
      <c r="AB27" s="253"/>
      <c r="AC27" s="2228" t="str">
        <f>IF(TITLE_NAME_OR_PR_CHANGE="",IF(TITLE_NAME_OR_PR="","",TITLE_NAME_OR_PR),TITLE_NAME_OR_PR_CHANGE)</f>
        <v/>
      </c>
      <c r="AD27" s="2228"/>
      <c r="AE27" s="2228"/>
      <c r="AF27" s="2228"/>
      <c r="AG27" s="2228"/>
      <c r="AH27" s="2228"/>
      <c r="AI27" s="253"/>
      <c r="AJ27" s="253"/>
      <c r="AK27" s="199"/>
      <c r="AL27" s="295"/>
      <c r="AM27" s="295"/>
      <c r="AN27" s="295"/>
      <c r="AO27" s="295"/>
      <c r="AP27" s="295"/>
    </row>
    <row r="28" spans="1:42" s="1950" customFormat="1" ht="18.75" hidden="1" customHeight="1">
      <c r="A28" s="1249"/>
      <c r="B28" s="1249"/>
      <c r="C28" s="1249"/>
      <c r="D28" s="1249"/>
      <c r="E28" s="1249"/>
      <c r="F28" s="1249"/>
      <c r="G28" s="1249"/>
      <c r="H28" s="1249"/>
      <c r="I28" s="1249"/>
      <c r="J28" s="1249"/>
      <c r="K28" s="1249"/>
      <c r="L28" s="1250"/>
      <c r="M28" s="1249"/>
      <c r="N28" s="1249"/>
      <c r="O28" s="1249"/>
      <c r="S28" s="2227" t="s">
        <v>1484</v>
      </c>
      <c r="T28" s="2227"/>
      <c r="U28" s="1253"/>
      <c r="V28" s="2228" t="str">
        <f>IF(TITLE_DATE_CHANGE_PERIOD="",IF(TITLE_DATE_PR="","",TITLE_DATE_PR),TITLE_DATE_CHANGE_PERIOD)</f>
        <v/>
      </c>
      <c r="W28" s="2228"/>
      <c r="X28" s="2228"/>
      <c r="Y28" s="2228"/>
      <c r="Z28" s="2228"/>
      <c r="AA28" s="2228"/>
      <c r="AB28" s="253"/>
      <c r="AC28" s="2228" t="str">
        <f>IF(TITLE_DATE_CHANGE_PERIOD="",IF(TITLE_DATE_PR="","",TITLE_DATE_PR),TITLE_DATE_CHANGE_PERIOD)</f>
        <v/>
      </c>
      <c r="AD28" s="2228"/>
      <c r="AE28" s="2228"/>
      <c r="AF28" s="2228"/>
      <c r="AG28" s="2228"/>
      <c r="AH28" s="2228"/>
      <c r="AI28" s="253"/>
      <c r="AJ28" s="253"/>
      <c r="AK28" s="199"/>
      <c r="AL28" s="295"/>
      <c r="AM28" s="295"/>
      <c r="AN28" s="295"/>
      <c r="AO28" s="295"/>
      <c r="AP28" s="295"/>
    </row>
    <row r="29" spans="1:42" s="1950" customFormat="1" ht="18.75" hidden="1" customHeight="1">
      <c r="A29" s="1249"/>
      <c r="B29" s="1249"/>
      <c r="C29" s="1249"/>
      <c r="D29" s="1249"/>
      <c r="E29" s="1249"/>
      <c r="F29" s="1249"/>
      <c r="G29" s="1249"/>
      <c r="H29" s="1249"/>
      <c r="I29" s="1249"/>
      <c r="J29" s="1249"/>
      <c r="K29" s="1249"/>
      <c r="L29" s="1250"/>
      <c r="M29" s="1249"/>
      <c r="N29" s="1249"/>
      <c r="O29" s="1249"/>
      <c r="S29" s="2227" t="s">
        <v>1485</v>
      </c>
      <c r="T29" s="2227"/>
      <c r="U29" s="1253"/>
      <c r="V29" s="2228" t="str">
        <f>IF(TITLE_NUMBER_PR_CHANGE="",IF(TITLE_NUMBER_PR="","",TITLE_NUMBER_PR),TITLE_NUMBER_PR_CHANGE)</f>
        <v/>
      </c>
      <c r="W29" s="2228"/>
      <c r="X29" s="2228"/>
      <c r="Y29" s="2228"/>
      <c r="Z29" s="2228"/>
      <c r="AA29" s="2228"/>
      <c r="AB29" s="253"/>
      <c r="AC29" s="2228" t="str">
        <f>IF(TITLE_NUMBER_PR_CHANGE="",IF(TITLE_NUMBER_PR="","",TITLE_NUMBER_PR),TITLE_NUMBER_PR_CHANGE)</f>
        <v/>
      </c>
      <c r="AD29" s="2228"/>
      <c r="AE29" s="2228"/>
      <c r="AF29" s="2228"/>
      <c r="AG29" s="2228"/>
      <c r="AH29" s="2228"/>
      <c r="AI29" s="253"/>
      <c r="AJ29" s="253"/>
      <c r="AK29" s="199"/>
      <c r="AL29" s="295"/>
      <c r="AM29" s="295"/>
      <c r="AN29" s="295"/>
      <c r="AO29" s="295"/>
      <c r="AP29" s="295"/>
    </row>
    <row r="30" spans="1:42" s="1950" customFormat="1" ht="18.75" hidden="1" customHeight="1">
      <c r="A30" s="1249"/>
      <c r="B30" s="1249"/>
      <c r="C30" s="1249"/>
      <c r="D30" s="1249"/>
      <c r="E30" s="1249"/>
      <c r="F30" s="1249"/>
      <c r="G30" s="1249"/>
      <c r="H30" s="1249"/>
      <c r="I30" s="1249"/>
      <c r="J30" s="1249"/>
      <c r="K30" s="1249"/>
      <c r="L30" s="1250"/>
      <c r="M30" s="1249"/>
      <c r="N30" s="1249"/>
      <c r="O30" s="1249"/>
      <c r="S30" s="2227" t="s">
        <v>39</v>
      </c>
      <c r="T30" s="2227"/>
      <c r="U30" s="1253"/>
      <c r="V30" s="2228" t="str">
        <f>IF(TITLE_IST_PUB_CHANGE="",IF(TITLE_IST_PUB="","",TITLE_IST_PUB),TITLE_IST_PUB_CHANGE)</f>
        <v/>
      </c>
      <c r="W30" s="2228"/>
      <c r="X30" s="2228"/>
      <c r="Y30" s="2228"/>
      <c r="Z30" s="2228"/>
      <c r="AA30" s="2228"/>
      <c r="AB30" s="253"/>
      <c r="AC30" s="2228" t="str">
        <f>IF(TITLE_IST_PUB_CHANGE="",IF(TITLE_IST_PUB="","",TITLE_IST_PUB),TITLE_IST_PUB_CHANGE)</f>
        <v/>
      </c>
      <c r="AD30" s="2228"/>
      <c r="AE30" s="2228"/>
      <c r="AF30" s="2228"/>
      <c r="AG30" s="2228"/>
      <c r="AH30" s="2228"/>
      <c r="AI30" s="253"/>
      <c r="AJ30" s="253"/>
      <c r="AK30" s="199"/>
      <c r="AL30" s="295"/>
      <c r="AM30" s="295"/>
      <c r="AN30" s="295"/>
      <c r="AO30" s="295"/>
      <c r="AP30" s="295"/>
    </row>
    <row r="31" spans="1:42" ht="14.25" hidden="1" customHeight="1">
      <c r="Q31" s="304"/>
      <c r="R31" s="304"/>
      <c r="S31" s="1158"/>
      <c r="T31" s="289"/>
      <c r="U31" s="289"/>
      <c r="V31" s="248"/>
      <c r="W31" s="248"/>
      <c r="X31" s="248"/>
      <c r="Y31" s="248"/>
      <c r="Z31" s="248"/>
      <c r="AA31" s="248"/>
      <c r="AB31" s="248"/>
      <c r="AC31" s="248"/>
      <c r="AD31" s="248"/>
      <c r="AE31" s="248"/>
      <c r="AF31" s="248"/>
      <c r="AG31" s="248"/>
      <c r="AH31" s="248"/>
      <c r="AI31" s="248"/>
      <c r="AJ31" s="437"/>
    </row>
    <row r="32" spans="1:42" s="1950" customFormat="1" ht="18.75" hidden="1" customHeight="1">
      <c r="A32" s="1249"/>
      <c r="B32" s="1249"/>
      <c r="C32" s="1249"/>
      <c r="D32" s="1249"/>
      <c r="E32" s="1249"/>
      <c r="F32" s="1249"/>
      <c r="G32" s="1249"/>
      <c r="H32" s="1249"/>
      <c r="I32" s="1249"/>
      <c r="J32" s="1249"/>
      <c r="K32" s="1249"/>
      <c r="L32" s="1250"/>
      <c r="M32" s="1249"/>
      <c r="N32" s="1249"/>
      <c r="O32" s="1249"/>
      <c r="S32" s="2227" t="s">
        <v>1486</v>
      </c>
      <c r="T32" s="2227"/>
      <c r="U32" s="1253"/>
      <c r="V32" s="2228" t="str">
        <f>IF(TITLE_DATE_CHANGE_PERIOD="",IF(TITLE_DATE_PR="","",TITLE_DATE_PR),TITLE_DATE_CHANGE_PERIOD)</f>
        <v/>
      </c>
      <c r="W32" s="2228"/>
      <c r="X32" s="2228"/>
      <c r="Y32" s="2228"/>
      <c r="Z32" s="2228"/>
      <c r="AA32" s="2228"/>
      <c r="AB32" s="253"/>
      <c r="AC32" s="2228" t="str">
        <f>IF(TITLE_DATE_CHANGE_PERIOD="",IF(TITLE_DATE_PR="","",TITLE_DATE_PR),TITLE_DATE_CHANGE_PERIOD)</f>
        <v/>
      </c>
      <c r="AD32" s="2228"/>
      <c r="AE32" s="2228"/>
      <c r="AF32" s="2228"/>
      <c r="AG32" s="2228"/>
      <c r="AH32" s="2228"/>
      <c r="AI32" s="253"/>
      <c r="AJ32" s="253"/>
      <c r="AK32" s="199"/>
      <c r="AL32" s="295"/>
      <c r="AM32" s="295"/>
      <c r="AN32" s="295"/>
      <c r="AO32" s="295"/>
      <c r="AP32" s="295"/>
    </row>
    <row r="33" spans="1:42" s="1950" customFormat="1" ht="18.75" hidden="1" customHeight="1">
      <c r="A33" s="1249"/>
      <c r="B33" s="1249"/>
      <c r="C33" s="1249"/>
      <c r="D33" s="1249"/>
      <c r="E33" s="1249"/>
      <c r="F33" s="1249"/>
      <c r="G33" s="1249"/>
      <c r="H33" s="1249"/>
      <c r="I33" s="1249"/>
      <c r="J33" s="1249"/>
      <c r="K33" s="1249"/>
      <c r="L33" s="1250"/>
      <c r="M33" s="1249"/>
      <c r="N33" s="1249"/>
      <c r="O33" s="1249"/>
      <c r="S33" s="2227" t="s">
        <v>1487</v>
      </c>
      <c r="T33" s="2227"/>
      <c r="U33" s="1253"/>
      <c r="V33" s="2228" t="str">
        <f>IF(TITLE_NUMBER_PR_CHANGE="",IF(TITLE_NUMBER_PR="","",TITLE_NUMBER_PR),TITLE_NUMBER_PR_CHANGE)</f>
        <v/>
      </c>
      <c r="W33" s="2228"/>
      <c r="X33" s="2228"/>
      <c r="Y33" s="2228"/>
      <c r="Z33" s="2228"/>
      <c r="AA33" s="2228"/>
      <c r="AB33" s="253"/>
      <c r="AC33" s="2228" t="str">
        <f>IF(TITLE_NUMBER_PR_CHANGE="",IF(TITLE_NUMBER_PR="","",TITLE_NUMBER_PR),TITLE_NUMBER_PR_CHANGE)</f>
        <v/>
      </c>
      <c r="AD33" s="2228"/>
      <c r="AE33" s="2228"/>
      <c r="AF33" s="2228"/>
      <c r="AG33" s="2228"/>
      <c r="AH33" s="2228"/>
      <c r="AI33" s="253"/>
      <c r="AJ33" s="253"/>
      <c r="AK33" s="199"/>
      <c r="AL33" s="295"/>
      <c r="AM33" s="295"/>
      <c r="AN33" s="295"/>
      <c r="AO33" s="295"/>
      <c r="AP33" s="295"/>
    </row>
    <row r="34" spans="1:42" s="1950" customFormat="1" ht="0.75" customHeight="1">
      <c r="A34" s="1249"/>
      <c r="B34" s="1249"/>
      <c r="C34" s="1249"/>
      <c r="D34" s="1249"/>
      <c r="E34" s="1249"/>
      <c r="F34" s="1249"/>
      <c r="G34" s="1249"/>
      <c r="H34" s="1249"/>
      <c r="I34" s="1249"/>
      <c r="J34" s="1249"/>
      <c r="K34" s="1249"/>
      <c r="L34" s="1250"/>
      <c r="M34" s="1249"/>
      <c r="N34" s="1249"/>
      <c r="O34" s="1249"/>
      <c r="S34" s="250"/>
      <c r="T34" s="250"/>
      <c r="U34" s="1350"/>
      <c r="V34" s="253"/>
      <c r="W34" s="253"/>
      <c r="X34" s="253"/>
      <c r="Y34" s="253"/>
      <c r="Z34" s="253"/>
      <c r="AA34" s="253"/>
      <c r="AB34" s="197" t="s">
        <v>1488</v>
      </c>
      <c r="AC34" s="253"/>
      <c r="AD34" s="253"/>
      <c r="AE34" s="253"/>
      <c r="AF34" s="253"/>
      <c r="AG34" s="253"/>
      <c r="AH34" s="253"/>
      <c r="AI34" s="197" t="s">
        <v>1488</v>
      </c>
      <c r="AL34" s="295"/>
      <c r="AM34" s="295"/>
      <c r="AN34" s="295"/>
      <c r="AO34" s="295"/>
      <c r="AP34" s="295"/>
    </row>
    <row r="35" spans="1:42" ht="14.25" customHeight="1">
      <c r="Q35" s="304"/>
      <c r="R35" s="304"/>
      <c r="S35" s="1158"/>
      <c r="T35" s="289"/>
      <c r="U35" s="1117"/>
      <c r="V35" s="2246"/>
      <c r="W35" s="2246"/>
      <c r="X35" s="2246"/>
      <c r="Y35" s="2246"/>
      <c r="Z35" s="2246"/>
      <c r="AA35" s="2246"/>
      <c r="AB35" s="2246"/>
      <c r="AC35" s="2246"/>
      <c r="AD35" s="2246"/>
      <c r="AE35" s="2246"/>
      <c r="AF35" s="2246"/>
      <c r="AG35" s="2246"/>
      <c r="AH35" s="2246"/>
      <c r="AI35" s="2246"/>
    </row>
    <row r="36" spans="1:42" ht="14.25" customHeight="1">
      <c r="Q36" s="304"/>
      <c r="R36" s="304"/>
      <c r="S36" s="2021" t="s">
        <v>292</v>
      </c>
      <c r="T36" s="2021"/>
      <c r="U36" s="2021"/>
      <c r="V36" s="2021"/>
      <c r="W36" s="2021"/>
      <c r="X36" s="2021"/>
      <c r="Y36" s="2021"/>
      <c r="Z36" s="2021"/>
      <c r="AA36" s="2021"/>
      <c r="AB36" s="2021"/>
      <c r="AC36" s="2021"/>
      <c r="AD36" s="2021"/>
      <c r="AE36" s="2021"/>
      <c r="AF36" s="2021"/>
      <c r="AG36" s="2021"/>
      <c r="AH36" s="2021"/>
      <c r="AI36" s="2021"/>
      <c r="AJ36" s="2021"/>
      <c r="AK36" s="2021" t="s">
        <v>293</v>
      </c>
    </row>
    <row r="37" spans="1:42" ht="14.25" customHeight="1">
      <c r="Q37" s="304"/>
      <c r="R37" s="304"/>
      <c r="S37" s="2247" t="s">
        <v>88</v>
      </c>
      <c r="T37" s="2111" t="s">
        <v>1489</v>
      </c>
      <c r="U37" s="219"/>
      <c r="V37" s="2248" t="s">
        <v>1490</v>
      </c>
      <c r="W37" s="2249"/>
      <c r="X37" s="2249"/>
      <c r="Y37" s="2249"/>
      <c r="Z37" s="2249"/>
      <c r="AA37" s="2250"/>
      <c r="AB37" s="2251" t="s">
        <v>1491</v>
      </c>
      <c r="AC37" s="2248" t="s">
        <v>1490</v>
      </c>
      <c r="AD37" s="2249"/>
      <c r="AE37" s="2249"/>
      <c r="AF37" s="2249"/>
      <c r="AG37" s="2249"/>
      <c r="AH37" s="2250"/>
      <c r="AI37" s="2251" t="s">
        <v>1492</v>
      </c>
      <c r="AJ37" s="2254" t="s">
        <v>1493</v>
      </c>
      <c r="AK37" s="2021"/>
    </row>
    <row r="38" spans="1:42" ht="33.75" customHeight="1">
      <c r="Q38" s="304"/>
      <c r="R38" s="304"/>
      <c r="S38" s="2247"/>
      <c r="T38" s="2111"/>
      <c r="U38" s="924"/>
      <c r="V38" s="1345" t="s">
        <v>2100</v>
      </c>
      <c r="W38" s="2003" t="s">
        <v>2101</v>
      </c>
      <c r="X38" s="2002"/>
      <c r="Y38" s="2003" t="s">
        <v>1497</v>
      </c>
      <c r="Z38" s="2008"/>
      <c r="AA38" s="2002"/>
      <c r="AB38" s="2252"/>
      <c r="AC38" s="1345" t="s">
        <v>2100</v>
      </c>
      <c r="AD38" s="2003" t="s">
        <v>2101</v>
      </c>
      <c r="AE38" s="2002"/>
      <c r="AF38" s="2003" t="s">
        <v>1497</v>
      </c>
      <c r="AG38" s="2008"/>
      <c r="AH38" s="2002"/>
      <c r="AI38" s="2252"/>
      <c r="AJ38" s="2255"/>
      <c r="AK38" s="2021"/>
    </row>
    <row r="39" spans="1:42" ht="86.25" customHeight="1">
      <c r="A39" s="1251"/>
      <c r="B39" s="1251" t="s">
        <v>136</v>
      </c>
      <c r="C39" s="1251" t="s">
        <v>137</v>
      </c>
      <c r="D39" s="1251" t="s">
        <v>138</v>
      </c>
      <c r="E39" s="1245" t="s">
        <v>1498</v>
      </c>
      <c r="F39" s="1245" t="s">
        <v>1499</v>
      </c>
      <c r="G39" s="1245" t="s">
        <v>1500</v>
      </c>
      <c r="H39" s="1245"/>
      <c r="I39" s="1245" t="s">
        <v>1685</v>
      </c>
      <c r="J39" s="1245" t="s">
        <v>1503</v>
      </c>
      <c r="K39" s="1245" t="s">
        <v>1686</v>
      </c>
      <c r="L39" s="1245" t="s">
        <v>1479</v>
      </c>
      <c r="Q39" s="304"/>
      <c r="R39" s="304"/>
      <c r="S39" s="2247"/>
      <c r="T39" s="2111"/>
      <c r="U39" s="220"/>
      <c r="V39" s="1345" t="s">
        <v>2102</v>
      </c>
      <c r="W39" s="1092" t="s">
        <v>2103</v>
      </c>
      <c r="X39" s="1092" t="s">
        <v>2104</v>
      </c>
      <c r="Y39" s="1351" t="s">
        <v>1507</v>
      </c>
      <c r="Z39" s="2117" t="s">
        <v>1508</v>
      </c>
      <c r="AA39" s="2131"/>
      <c r="AB39" s="2253"/>
      <c r="AC39" s="1345" t="s">
        <v>2102</v>
      </c>
      <c r="AD39" s="1092" t="s">
        <v>2103</v>
      </c>
      <c r="AE39" s="1092" t="s">
        <v>2104</v>
      </c>
      <c r="AF39" s="1351" t="s">
        <v>1507</v>
      </c>
      <c r="AG39" s="2117" t="s">
        <v>1508</v>
      </c>
      <c r="AH39" s="2131"/>
      <c r="AI39" s="2253"/>
      <c r="AJ39" s="2256"/>
      <c r="AK39" s="2021"/>
    </row>
    <row r="40" spans="1:42" s="1720" customFormat="1" ht="11.25" hidden="1" customHeight="1">
      <c r="A40" s="1251"/>
      <c r="B40" s="1251"/>
      <c r="C40" s="1251"/>
      <c r="D40" s="1251"/>
      <c r="E40" s="1251"/>
      <c r="F40" s="1251"/>
      <c r="G40" s="1251"/>
      <c r="H40" s="1251"/>
      <c r="I40" s="1251"/>
      <c r="J40" s="1251"/>
      <c r="K40" s="1251"/>
      <c r="L40" s="1245"/>
      <c r="M40" s="1243"/>
      <c r="N40" s="1243"/>
      <c r="O40" s="1243"/>
      <c r="P40" s="1119"/>
      <c r="Q40" s="1120"/>
      <c r="R40" s="1135">
        <v>1</v>
      </c>
      <c r="S40" s="1160" t="s">
        <v>109</v>
      </c>
      <c r="T40" s="1136" t="s">
        <v>110</v>
      </c>
      <c r="U40" s="1118" t="str">
        <f ca="1">OFFSET(U40,0,-1)</f>
        <v>2</v>
      </c>
      <c r="V40" s="1344">
        <f ca="1">OFFSET(V40,0,-1)+1</f>
        <v>3</v>
      </c>
      <c r="W40" s="1344">
        <f ca="1">OFFSET(W40,0,-1)+1</f>
        <v>4</v>
      </c>
      <c r="X40" s="1344">
        <f ca="1">OFFSET(X40,0,-1)+1</f>
        <v>5</v>
      </c>
      <c r="Y40" s="1344">
        <f ca="1">OFFSET(Y40,0,-1)+1</f>
        <v>6</v>
      </c>
      <c r="Z40" s="2245">
        <f ca="1">OFFSET(Z40,0,-1)+1</f>
        <v>7</v>
      </c>
      <c r="AA40" s="2245"/>
      <c r="AB40" s="1344">
        <f ca="1">OFFSET(AB40,0,-2)+1</f>
        <v>8</v>
      </c>
      <c r="AC40" s="1344">
        <f ca="1">OFFSET(AC40,0,-1)+1</f>
        <v>9</v>
      </c>
      <c r="AD40" s="1344">
        <f ca="1">OFFSET(AD40,0,-1)+1</f>
        <v>10</v>
      </c>
      <c r="AE40" s="1344">
        <f ca="1">OFFSET(AE40,0,-1)+1</f>
        <v>11</v>
      </c>
      <c r="AF40" s="1344">
        <f ca="1">OFFSET(AF40,0,-1)+1</f>
        <v>12</v>
      </c>
      <c r="AG40" s="2245">
        <f ca="1">OFFSET(AG40,0,-1)+1</f>
        <v>13</v>
      </c>
      <c r="AH40" s="2245"/>
      <c r="AI40" s="1344">
        <f ca="1">OFFSET(AI40,0,-2)+1</f>
        <v>14</v>
      </c>
      <c r="AJ40" s="1118">
        <f ca="1">OFFSET(AJ40,0,-1)</f>
        <v>14</v>
      </c>
      <c r="AK40" s="1344">
        <f ca="1">OFFSET(AK40,0,-1)+1</f>
        <v>15</v>
      </c>
      <c r="AL40" s="439"/>
      <c r="AM40" s="439"/>
      <c r="AN40" s="439"/>
      <c r="AO40" s="439"/>
      <c r="AP40" s="439"/>
    </row>
    <row r="41" spans="1:42" ht="23.25" customHeight="1">
      <c r="A41" s="1244" t="s">
        <v>243</v>
      </c>
      <c r="B41" s="1244"/>
      <c r="C41" s="1244"/>
      <c r="D41" s="1244"/>
      <c r="E41" s="2235">
        <v>1</v>
      </c>
      <c r="F41" s="1244"/>
      <c r="G41" s="1244"/>
      <c r="H41" s="1244"/>
      <c r="I41" s="1244"/>
      <c r="J41" s="1244"/>
      <c r="K41" s="1244"/>
      <c r="L41" s="1245"/>
      <c r="M41" s="1246"/>
      <c r="N41" s="1246"/>
      <c r="O41" s="1246"/>
      <c r="P41" s="285"/>
      <c r="Q41" s="284"/>
      <c r="R41" s="279"/>
      <c r="S41" s="1355">
        <f>INDEX(PT_DIFFERENTIATION_NUM_NTAR,MATCH(A41,PT_DIFFERENTIATION_NTAR_ID,0))</f>
        <v>0</v>
      </c>
      <c r="T41" s="216" t="s">
        <v>124</v>
      </c>
      <c r="U41" s="218"/>
      <c r="V41" s="2229"/>
      <c r="W41" s="2230"/>
      <c r="X41" s="2230"/>
      <c r="Y41" s="2230"/>
      <c r="Z41" s="2230"/>
      <c r="AA41" s="2230"/>
      <c r="AB41" s="2231"/>
      <c r="AC41" s="2229" t="str">
        <f>INDEX(PT_DIFFERENTIATION_NTAR,MATCH(A41,PT_DIFFERENTIATION_NTAR_ID,0))</f>
        <v/>
      </c>
      <c r="AD41" s="2230"/>
      <c r="AE41" s="2230"/>
      <c r="AF41" s="2230"/>
      <c r="AG41" s="2230"/>
      <c r="AH41" s="2230"/>
      <c r="AI41" s="2230"/>
      <c r="AJ41" s="2231"/>
      <c r="AK41" s="114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8"/>
      <c r="AN41" s="428" t="str">
        <f t="shared" ref="AN41:AN53" si="1">IF(T41="","",T41)</f>
        <v>Наименование тарифа</v>
      </c>
      <c r="AO41" s="428"/>
      <c r="AP41" s="428"/>
    </row>
    <row r="42" spans="1:42" ht="23.25" customHeight="1">
      <c r="A42" s="1244" t="s">
        <v>243</v>
      </c>
      <c r="B42" s="1244" t="s">
        <v>244</v>
      </c>
      <c r="C42" s="1244"/>
      <c r="D42" s="1244"/>
      <c r="E42" s="2236"/>
      <c r="F42" s="2235">
        <v>1</v>
      </c>
      <c r="G42" s="1244"/>
      <c r="H42" s="1244"/>
      <c r="I42" s="1244"/>
      <c r="J42" s="1244"/>
      <c r="K42" s="1244"/>
      <c r="L42" s="1245"/>
      <c r="M42" s="1246"/>
      <c r="N42" s="1246"/>
      <c r="O42" s="1246"/>
      <c r="P42" s="1349"/>
      <c r="Q42" s="276"/>
      <c r="R42" s="277"/>
      <c r="S42" s="1355" t="str">
        <f>INDEX(PT_DIFFERENTIATION_NUM_TER,MATCH(B42,PT_DIFFERENTIATION_TER_ID,0))</f>
        <v>.</v>
      </c>
      <c r="T42" s="228" t="s">
        <v>1461</v>
      </c>
      <c r="U42" s="218"/>
      <c r="V42" s="2229"/>
      <c r="W42" s="2230"/>
      <c r="X42" s="2230"/>
      <c r="Y42" s="2230"/>
      <c r="Z42" s="2230"/>
      <c r="AA42" s="2230"/>
      <c r="AB42" s="2231"/>
      <c r="AC42" s="2229" t="str">
        <f>INDEX(PT_DIFFERENTIATION_TER,MATCH(B42,PT_DIFFERENTIATION_TER_ID,0))</f>
        <v/>
      </c>
      <c r="AD42" s="2230"/>
      <c r="AE42" s="2230"/>
      <c r="AF42" s="2230"/>
      <c r="AG42" s="2230"/>
      <c r="AH42" s="2230"/>
      <c r="AI42" s="2230"/>
      <c r="AJ42" s="2231"/>
      <c r="AK42" s="1140" t="s">
        <v>1462</v>
      </c>
      <c r="AM42" s="428"/>
      <c r="AN42" s="428" t="str">
        <f t="shared" si="1"/>
        <v>Территория действия тарифа</v>
      </c>
      <c r="AO42" s="428"/>
      <c r="AP42" s="428"/>
    </row>
    <row r="43" spans="1:42" ht="23.25" customHeight="1">
      <c r="A43" s="1244" t="s">
        <v>243</v>
      </c>
      <c r="B43" s="1244" t="s">
        <v>244</v>
      </c>
      <c r="C43" s="1244" t="s">
        <v>245</v>
      </c>
      <c r="D43" s="1244"/>
      <c r="E43" s="2236"/>
      <c r="F43" s="2236"/>
      <c r="G43" s="2235">
        <v>1</v>
      </c>
      <c r="H43" s="1244"/>
      <c r="I43" s="1244"/>
      <c r="J43" s="1244"/>
      <c r="K43" s="1244"/>
      <c r="L43" s="1245"/>
      <c r="M43" s="1246"/>
      <c r="N43" s="1246"/>
      <c r="O43" s="1246"/>
      <c r="P43" s="278"/>
      <c r="Q43" s="276"/>
      <c r="R43" s="277"/>
      <c r="S43" s="1355" t="str">
        <f>INDEX(PT_DIFFERENTIATION_NUM_CS,MATCH(C43,PT_DIFFERENTIATION_CS_ID,0))</f>
        <v>..</v>
      </c>
      <c r="T43" s="229" t="s">
        <v>2098</v>
      </c>
      <c r="U43" s="218"/>
      <c r="V43" s="2229"/>
      <c r="W43" s="2230"/>
      <c r="X43" s="2230"/>
      <c r="Y43" s="2230"/>
      <c r="Z43" s="2230"/>
      <c r="AA43" s="2230"/>
      <c r="AB43" s="2231"/>
      <c r="AC43" s="2229" t="str">
        <f>INDEX(PT_DIFFERENTIATION_CS,MATCH(C43,PT_DIFFERENTIATION_CS_ID,0))</f>
        <v/>
      </c>
      <c r="AD43" s="2230"/>
      <c r="AE43" s="2230"/>
      <c r="AF43" s="2230"/>
      <c r="AG43" s="2230"/>
      <c r="AH43" s="2230"/>
      <c r="AI43" s="2230"/>
      <c r="AJ43" s="2231"/>
      <c r="AK43" s="1140" t="s">
        <v>2099</v>
      </c>
      <c r="AM43" s="428"/>
      <c r="AN43" s="428" t="str">
        <f t="shared" si="1"/>
        <v>Наименование централизованной системы горячего водоснабжения</v>
      </c>
      <c r="AO43" s="428"/>
      <c r="AP43" s="428"/>
    </row>
    <row r="44" spans="1:42" ht="23.25" customHeight="1">
      <c r="A44" s="1244" t="s">
        <v>243</v>
      </c>
      <c r="B44" s="1244" t="s">
        <v>244</v>
      </c>
      <c r="C44" s="1244" t="s">
        <v>245</v>
      </c>
      <c r="D44" s="1244" t="s">
        <v>2105</v>
      </c>
      <c r="E44" s="2236"/>
      <c r="F44" s="2236"/>
      <c r="G44" s="2236"/>
      <c r="H44" s="2236"/>
      <c r="I44" s="2237" t="str">
        <f>S43&amp;".1"</f>
        <v>...1</v>
      </c>
      <c r="J44" s="1244"/>
      <c r="K44" s="1244"/>
      <c r="L44" s="1245"/>
      <c r="P44" s="2157">
        <v>1</v>
      </c>
      <c r="Q44" s="1343"/>
      <c r="R44" s="280"/>
      <c r="S44" s="1355" t="str">
        <f>$I44</f>
        <v>...1</v>
      </c>
      <c r="T44" s="203" t="s">
        <v>1678</v>
      </c>
      <c r="U44" s="218"/>
      <c r="V44" s="2327"/>
      <c r="W44" s="2328"/>
      <c r="X44" s="2328"/>
      <c r="Y44" s="2328"/>
      <c r="Z44" s="2328"/>
      <c r="AA44" s="2328"/>
      <c r="AB44" s="2329"/>
      <c r="AC44" s="2330"/>
      <c r="AD44" s="2331"/>
      <c r="AE44" s="2331"/>
      <c r="AF44" s="2331"/>
      <c r="AG44" s="2331"/>
      <c r="AH44" s="2331"/>
      <c r="AI44" s="2331"/>
      <c r="AJ44" s="2332"/>
      <c r="AK44" s="1140" t="s">
        <v>1679</v>
      </c>
      <c r="AM44" s="428"/>
      <c r="AN44" s="428" t="str">
        <f t="shared" si="1"/>
        <v>Наименование признака дифференциации</v>
      </c>
      <c r="AO44" s="428"/>
      <c r="AP44" s="428"/>
    </row>
    <row r="45" spans="1:42" ht="23.25" customHeight="1">
      <c r="A45" s="1244" t="s">
        <v>243</v>
      </c>
      <c r="B45" s="1244" t="s">
        <v>244</v>
      </c>
      <c r="C45" s="1244" t="s">
        <v>245</v>
      </c>
      <c r="D45" s="1244" t="s">
        <v>2105</v>
      </c>
      <c r="E45" s="2236"/>
      <c r="F45" s="2236"/>
      <c r="G45" s="2236"/>
      <c r="H45" s="2236"/>
      <c r="I45" s="2238"/>
      <c r="J45" s="2237" t="str">
        <f>I44&amp;".1"</f>
        <v>...1.1</v>
      </c>
      <c r="K45" s="1244"/>
      <c r="L45" s="1245" t="s">
        <v>1470</v>
      </c>
      <c r="P45" s="2157"/>
      <c r="Q45" s="2157">
        <v>1</v>
      </c>
      <c r="R45" s="281"/>
      <c r="S45" s="1355" t="str">
        <f>$J45</f>
        <v>...1.1</v>
      </c>
      <c r="T45" s="204" t="s">
        <v>1471</v>
      </c>
      <c r="U45" s="218"/>
      <c r="V45" s="2224"/>
      <c r="W45" s="2225"/>
      <c r="X45" s="2225"/>
      <c r="Y45" s="2225"/>
      <c r="Z45" s="2225"/>
      <c r="AA45" s="2225"/>
      <c r="AB45" s="2226"/>
      <c r="AC45" s="2224"/>
      <c r="AD45" s="2225"/>
      <c r="AE45" s="2225"/>
      <c r="AF45" s="2225"/>
      <c r="AG45" s="2225"/>
      <c r="AH45" s="2225"/>
      <c r="AI45" s="2225"/>
      <c r="AJ45" s="2226"/>
      <c r="AK45" s="1194" t="s">
        <v>1680</v>
      </c>
      <c r="AM45" s="428"/>
      <c r="AN45" s="428" t="str">
        <f t="shared" si="1"/>
        <v>Группа потребителей</v>
      </c>
      <c r="AO45" s="428"/>
      <c r="AP45" s="428"/>
    </row>
    <row r="46" spans="1:42" ht="23.25" customHeight="1">
      <c r="A46" s="1244" t="s">
        <v>243</v>
      </c>
      <c r="B46" s="1244" t="s">
        <v>244</v>
      </c>
      <c r="C46" s="1244" t="s">
        <v>245</v>
      </c>
      <c r="D46" s="1244" t="s">
        <v>2105</v>
      </c>
      <c r="E46" s="2236"/>
      <c r="F46" s="2236"/>
      <c r="G46" s="2236"/>
      <c r="H46" s="2236"/>
      <c r="I46" s="2238"/>
      <c r="J46" s="2238"/>
      <c r="K46" s="2237" t="str">
        <f>J45&amp;".1"</f>
        <v>...1.1.1</v>
      </c>
      <c r="L46" s="1245"/>
      <c r="P46" s="2157"/>
      <c r="Q46" s="2157"/>
      <c r="R46" s="281">
        <v>1</v>
      </c>
      <c r="S46" s="1355" t="str">
        <f>$K46</f>
        <v>...1.1.1</v>
      </c>
      <c r="T46" s="1306"/>
      <c r="U46" s="218"/>
      <c r="V46" s="1671"/>
      <c r="W46" s="1671"/>
      <c r="X46" s="1672"/>
      <c r="Y46" s="2233"/>
      <c r="Z46" s="2232" t="s">
        <v>66</v>
      </c>
      <c r="AA46" s="2233"/>
      <c r="AB46" s="2232" t="s">
        <v>66</v>
      </c>
      <c r="AC46" s="1667"/>
      <c r="AD46" s="1667"/>
      <c r="AE46" s="1669"/>
      <c r="AF46" s="2239"/>
      <c r="AG46" s="2031" t="s">
        <v>66</v>
      </c>
      <c r="AH46" s="2241"/>
      <c r="AI46" s="2031" t="s">
        <v>56</v>
      </c>
      <c r="AJ46" s="1706"/>
      <c r="AK46" s="233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9" t="e">
        <f ca="1">STRCHECKDATE(V47:AJ47)</f>
        <v>#NAME?</v>
      </c>
      <c r="AM46" s="428"/>
      <c r="AN46" s="428" t="str">
        <f t="shared" si="1"/>
        <v/>
      </c>
      <c r="AO46" s="428"/>
      <c r="AP46" s="428"/>
    </row>
    <row r="47" spans="1:42" ht="0" hidden="1" customHeight="1">
      <c r="A47" s="1244" t="s">
        <v>243</v>
      </c>
      <c r="B47" s="1244" t="s">
        <v>244</v>
      </c>
      <c r="C47" s="1244" t="s">
        <v>245</v>
      </c>
      <c r="D47" s="1244" t="s">
        <v>2105</v>
      </c>
      <c r="E47" s="2236"/>
      <c r="F47" s="2236"/>
      <c r="G47" s="2236"/>
      <c r="H47" s="2236"/>
      <c r="I47" s="2238"/>
      <c r="J47" s="2238"/>
      <c r="K47" s="2237"/>
      <c r="L47" s="1245"/>
      <c r="P47" s="2157"/>
      <c r="Q47" s="2157"/>
      <c r="R47" s="281"/>
      <c r="S47" s="1352"/>
      <c r="T47" s="218"/>
      <c r="U47" s="218"/>
      <c r="V47" s="1671"/>
      <c r="W47" s="1671"/>
      <c r="X47" s="1670" t="str">
        <f>Y46&amp;"-"&amp;AA46</f>
        <v>-</v>
      </c>
      <c r="Y47" s="2232"/>
      <c r="Z47" s="2232"/>
      <c r="AA47" s="2232"/>
      <c r="AB47" s="2232"/>
      <c r="AC47" s="1668"/>
      <c r="AD47" s="1668"/>
      <c r="AE47" s="1670" t="str">
        <f>AF46&amp;"-"&amp;AH46</f>
        <v>-</v>
      </c>
      <c r="AF47" s="2240"/>
      <c r="AG47" s="2031"/>
      <c r="AH47" s="2242"/>
      <c r="AI47" s="2031"/>
      <c r="AJ47" s="1707"/>
      <c r="AK47" s="2333"/>
      <c r="AM47" s="428"/>
      <c r="AN47" s="428" t="str">
        <f t="shared" si="1"/>
        <v/>
      </c>
      <c r="AO47" s="428"/>
      <c r="AP47" s="428"/>
    </row>
    <row r="48" spans="1:42" ht="21" customHeight="1">
      <c r="A48" s="1244" t="s">
        <v>243</v>
      </c>
      <c r="B48" s="1244" t="s">
        <v>244</v>
      </c>
      <c r="C48" s="1244" t="s">
        <v>245</v>
      </c>
      <c r="D48" s="1244" t="s">
        <v>2105</v>
      </c>
      <c r="E48" s="2236"/>
      <c r="F48" s="2236"/>
      <c r="G48" s="2236"/>
      <c r="H48" s="2236"/>
      <c r="I48" s="2238"/>
      <c r="J48" s="2237"/>
      <c r="K48" s="1244"/>
      <c r="L48" s="1245"/>
      <c r="P48" s="2157"/>
      <c r="Q48" s="2157"/>
      <c r="R48" s="280"/>
      <c r="S48" s="1161"/>
      <c r="T48" s="205" t="s">
        <v>1681</v>
      </c>
      <c r="U48" s="294"/>
      <c r="V48" s="294"/>
      <c r="W48" s="294"/>
      <c r="X48" s="294"/>
      <c r="Y48" s="294"/>
      <c r="Z48" s="294"/>
      <c r="AA48" s="294"/>
      <c r="AB48" s="294"/>
      <c r="AC48" s="294"/>
      <c r="AD48" s="294"/>
      <c r="AE48" s="294"/>
      <c r="AF48" s="294"/>
      <c r="AG48" s="294"/>
      <c r="AH48" s="294"/>
      <c r="AI48" s="294"/>
      <c r="AJ48" s="294"/>
      <c r="AK48" s="1140" t="s">
        <v>1682</v>
      </c>
      <c r="AM48" s="428"/>
      <c r="AN48" s="428" t="str">
        <f t="shared" si="1"/>
        <v>Добавить значение признака дифференциации</v>
      </c>
      <c r="AO48" s="428"/>
      <c r="AP48" s="428"/>
    </row>
    <row r="49" spans="1:42" ht="21" customHeight="1">
      <c r="A49" s="1244" t="s">
        <v>243</v>
      </c>
      <c r="B49" s="1244" t="s">
        <v>244</v>
      </c>
      <c r="C49" s="1244" t="s">
        <v>245</v>
      </c>
      <c r="D49" s="1244" t="s">
        <v>2105</v>
      </c>
      <c r="E49" s="2236"/>
      <c r="F49" s="2236"/>
      <c r="G49" s="2236"/>
      <c r="H49" s="2236"/>
      <c r="I49" s="2237"/>
      <c r="J49" s="1244"/>
      <c r="K49" s="1244"/>
      <c r="L49" s="1245"/>
      <c r="P49" s="2157"/>
      <c r="Q49" s="1343"/>
      <c r="R49" s="280"/>
      <c r="S49" s="1161"/>
      <c r="T49" s="291" t="s">
        <v>1476</v>
      </c>
      <c r="U49" s="294"/>
      <c r="V49" s="294"/>
      <c r="W49" s="294"/>
      <c r="X49" s="294"/>
      <c r="Y49" s="294"/>
      <c r="Z49" s="294"/>
      <c r="AA49" s="294"/>
      <c r="AB49" s="293"/>
      <c r="AC49" s="294"/>
      <c r="AD49" s="294"/>
      <c r="AE49" s="294"/>
      <c r="AF49" s="294"/>
      <c r="AG49" s="294"/>
      <c r="AH49" s="294"/>
      <c r="AI49" s="293"/>
      <c r="AJ49" s="294"/>
      <c r="AK49" s="1307"/>
      <c r="AM49" s="428"/>
      <c r="AN49" s="428" t="str">
        <f t="shared" si="1"/>
        <v>Добавить группу потребителей</v>
      </c>
      <c r="AO49" s="428"/>
      <c r="AP49" s="428"/>
    </row>
    <row r="50" spans="1:42" ht="21" customHeight="1">
      <c r="A50" s="1244" t="s">
        <v>243</v>
      </c>
      <c r="B50" s="1244" t="s">
        <v>244</v>
      </c>
      <c r="C50" s="1244" t="s">
        <v>245</v>
      </c>
      <c r="D50" s="1244" t="s">
        <v>2105</v>
      </c>
      <c r="E50" s="2236"/>
      <c r="F50" s="2236"/>
      <c r="G50" s="2236"/>
      <c r="H50" s="2235"/>
      <c r="I50" s="1244"/>
      <c r="J50" s="1244"/>
      <c r="K50" s="1244"/>
      <c r="L50" s="1245"/>
      <c r="M50" s="1246"/>
      <c r="N50" s="1246"/>
      <c r="O50" s="464"/>
      <c r="P50" s="284"/>
      <c r="Q50" s="303"/>
      <c r="R50" s="279"/>
      <c r="S50" s="1161"/>
      <c r="T50" s="299" t="s">
        <v>1683</v>
      </c>
      <c r="U50" s="294"/>
      <c r="V50" s="294"/>
      <c r="W50" s="294"/>
      <c r="X50" s="294"/>
      <c r="Y50" s="294"/>
      <c r="Z50" s="294"/>
      <c r="AA50" s="294"/>
      <c r="AB50" s="293"/>
      <c r="AC50" s="294"/>
      <c r="AD50" s="294"/>
      <c r="AE50" s="294"/>
      <c r="AF50" s="294"/>
      <c r="AG50" s="294"/>
      <c r="AH50" s="294"/>
      <c r="AI50" s="293"/>
      <c r="AJ50" s="294"/>
      <c r="AK50" s="221"/>
      <c r="AM50" s="428"/>
      <c r="AN50" s="428" t="str">
        <f t="shared" si="1"/>
        <v>Добавить наименование признака дифференциации</v>
      </c>
      <c r="AO50" s="428"/>
      <c r="AP50" s="428"/>
    </row>
    <row r="51" spans="1:42" s="1772" customFormat="1" ht="0.75" customHeight="1">
      <c r="A51" s="1228" t="s">
        <v>243</v>
      </c>
      <c r="B51" s="1228" t="s">
        <v>244</v>
      </c>
      <c r="C51" s="1200"/>
      <c r="D51" s="1200"/>
      <c r="E51" s="2236"/>
      <c r="F51" s="2235"/>
      <c r="G51" s="1200"/>
      <c r="H51" s="1200"/>
      <c r="I51" s="1200"/>
      <c r="J51" s="1200"/>
      <c r="K51" s="1200"/>
      <c r="L51" s="1356"/>
      <c r="M51" s="1207"/>
      <c r="N51" s="1207"/>
      <c r="P51" s="1202"/>
      <c r="Q51" s="1203"/>
      <c r="R51" s="1202"/>
      <c r="S51" s="1208"/>
      <c r="T51" s="1211" t="s">
        <v>1437</v>
      </c>
      <c r="U51" s="1210"/>
      <c r="V51" s="1210"/>
      <c r="W51" s="1210"/>
      <c r="X51" s="1210"/>
      <c r="Y51" s="1210"/>
      <c r="Z51" s="1210"/>
      <c r="AA51" s="1210"/>
      <c r="AB51" s="1210"/>
      <c r="AC51" s="1210"/>
      <c r="AD51" s="1210"/>
      <c r="AE51" s="1210"/>
      <c r="AF51" s="1210"/>
      <c r="AG51" s="1210"/>
      <c r="AH51" s="1210"/>
      <c r="AI51" s="1210"/>
      <c r="AJ51" s="1210"/>
      <c r="AK51" s="1210"/>
      <c r="AM51" s="696"/>
      <c r="AN51" s="696" t="str">
        <f t="shared" si="1"/>
        <v>Добавить централизованную систему для дифференциации</v>
      </c>
      <c r="AO51" s="696"/>
      <c r="AP51" s="696"/>
    </row>
    <row r="52" spans="1:42" s="1772" customFormat="1" ht="0.75" customHeight="1">
      <c r="A52" s="1228" t="s">
        <v>243</v>
      </c>
      <c r="B52" s="1228"/>
      <c r="C52" s="1228"/>
      <c r="D52" s="1228"/>
      <c r="E52" s="2235"/>
      <c r="F52" s="1228"/>
      <c r="G52" s="1228"/>
      <c r="H52" s="1228"/>
      <c r="I52" s="1228"/>
      <c r="J52" s="1228"/>
      <c r="K52" s="1228"/>
      <c r="L52" s="1231"/>
      <c r="M52" s="1207"/>
      <c r="N52" s="1207"/>
      <c r="O52" s="446"/>
      <c r="P52" s="311"/>
      <c r="Q52" s="1229"/>
      <c r="R52" s="311"/>
      <c r="S52" s="1208"/>
      <c r="T52" s="1211" t="s">
        <v>1438</v>
      </c>
      <c r="U52" s="1210"/>
      <c r="V52" s="1210"/>
      <c r="W52" s="1210"/>
      <c r="X52" s="1210"/>
      <c r="Y52" s="1210"/>
      <c r="Z52" s="1210"/>
      <c r="AA52" s="1210"/>
      <c r="AB52" s="1210"/>
      <c r="AC52" s="1210"/>
      <c r="AD52" s="1210"/>
      <c r="AE52" s="1210"/>
      <c r="AF52" s="1210"/>
      <c r="AG52" s="1210"/>
      <c r="AH52" s="1210"/>
      <c r="AI52" s="1210"/>
      <c r="AJ52" s="1210"/>
      <c r="AK52" s="1210"/>
      <c r="AM52" s="428"/>
      <c r="AN52" s="428" t="str">
        <f t="shared" si="1"/>
        <v>Добавить территорию для дифференциации</v>
      </c>
      <c r="AO52" s="428"/>
      <c r="AP52" s="428"/>
    </row>
    <row r="53" spans="1:42" s="1772" customFormat="1" ht="0.75" customHeight="1">
      <c r="A53" s="1200"/>
      <c r="B53" s="1200"/>
      <c r="C53" s="1200"/>
      <c r="D53" s="1200"/>
      <c r="E53" s="1228"/>
      <c r="F53" s="1200"/>
      <c r="G53" s="1200"/>
      <c r="H53" s="1200"/>
      <c r="I53" s="1200"/>
      <c r="J53" s="1200"/>
      <c r="K53" s="1200"/>
      <c r="L53" s="1356"/>
      <c r="M53" s="1207"/>
      <c r="N53" s="1207"/>
      <c r="P53" s="1202"/>
      <c r="Q53" s="1203"/>
      <c r="R53" s="1202"/>
      <c r="S53" s="1208"/>
      <c r="T53" s="1211" t="s">
        <v>1439</v>
      </c>
      <c r="U53" s="1210"/>
      <c r="V53" s="1210"/>
      <c r="W53" s="1210"/>
      <c r="X53" s="1210"/>
      <c r="Y53" s="1210"/>
      <c r="Z53" s="1210"/>
      <c r="AA53" s="1210"/>
      <c r="AB53" s="1210"/>
      <c r="AC53" s="1210"/>
      <c r="AD53" s="1210"/>
      <c r="AE53" s="1210"/>
      <c r="AF53" s="1210"/>
      <c r="AG53" s="1210"/>
      <c r="AH53" s="1210"/>
      <c r="AI53" s="1210"/>
      <c r="AJ53" s="1210"/>
      <c r="AK53" s="1210"/>
      <c r="AM53" s="696"/>
      <c r="AN53" s="696" t="str">
        <f t="shared" si="1"/>
        <v>Добавить наименование тарифа</v>
      </c>
      <c r="AO53" s="696"/>
      <c r="AP53" s="696"/>
    </row>
    <row r="54" spans="1:42" ht="11.25" customHeight="1">
      <c r="M54" s="1036"/>
      <c r="N54" s="1036"/>
      <c r="O54" s="464"/>
      <c r="P54" s="1031"/>
      <c r="Q54" s="1031"/>
      <c r="R54" s="1031"/>
      <c r="S54" s="1031"/>
      <c r="AL54" s="1031"/>
      <c r="AM54" s="1031"/>
      <c r="AN54" s="1031"/>
      <c r="AO54" s="1031"/>
      <c r="AP54" s="1031"/>
    </row>
    <row r="55" spans="1:42" ht="14.25" customHeight="1">
      <c r="O55" s="464"/>
      <c r="S55" s="1128" t="s">
        <v>1509</v>
      </c>
      <c r="T55" s="2234" t="s">
        <v>2106</v>
      </c>
      <c r="U55" s="2234"/>
      <c r="V55" s="2234"/>
      <c r="W55" s="2234"/>
      <c r="X55" s="2234"/>
      <c r="Y55" s="2234"/>
      <c r="Z55" s="2234"/>
      <c r="AA55" s="2234"/>
      <c r="AB55" s="2234"/>
      <c r="AC55" s="2234"/>
      <c r="AD55" s="2234"/>
      <c r="AE55" s="2234"/>
      <c r="AF55" s="2234"/>
      <c r="AG55" s="2234"/>
      <c r="AH55" s="2234"/>
      <c r="AI55" s="2234"/>
      <c r="AJ55" s="2234"/>
      <c r="AK55" s="2234"/>
    </row>
    <row r="56" spans="1:42" ht="14.25" customHeight="1">
      <c r="O56" s="464"/>
    </row>
    <row r="57" spans="1:42" ht="14.25" customHeight="1">
      <c r="O57" s="464"/>
      <c r="S57" s="1128" t="s">
        <v>1509</v>
      </c>
      <c r="T57" s="2234" t="s">
        <v>2107</v>
      </c>
      <c r="U57" s="2234"/>
      <c r="V57" s="2234"/>
      <c r="W57" s="2234"/>
      <c r="X57" s="2234"/>
      <c r="Y57" s="2234"/>
      <c r="Z57" s="2234"/>
      <c r="AA57" s="2234"/>
      <c r="AB57" s="2234"/>
      <c r="AC57" s="2234"/>
      <c r="AD57" s="2234"/>
      <c r="AE57" s="2234"/>
      <c r="AF57" s="2234"/>
      <c r="AG57" s="2234"/>
      <c r="AH57" s="2234"/>
      <c r="AI57" s="2234"/>
      <c r="AJ57" s="2234"/>
      <c r="AK57" s="2234"/>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759" hidden="1" customWidth="1"/>
    <col min="2" max="2" width="11" style="1759" hidden="1" customWidth="1"/>
    <col min="3" max="3" width="10.5703125" style="1759" hidden="1"/>
    <col min="4" max="4" width="12.85546875" style="1759" hidden="1" customWidth="1"/>
    <col min="5" max="5" width="10" style="1759" hidden="1" customWidth="1"/>
    <col min="6" max="6" width="8.7109375" style="1759" hidden="1" customWidth="1"/>
    <col min="7" max="7" width="7.5703125" style="1759" hidden="1" customWidth="1"/>
    <col min="8" max="8" width="11.42578125" style="1759" hidden="1" customWidth="1"/>
    <col min="9" max="9" width="12" style="1759" hidden="1" customWidth="1"/>
    <col min="10" max="10" width="9.85546875" style="1759" hidden="1" customWidth="1"/>
    <col min="11" max="11" width="11.42578125" style="1759" hidden="1" customWidth="1"/>
    <col min="12" max="12" width="19.140625" style="1758" hidden="1" customWidth="1"/>
    <col min="13" max="14" width="12.28515625" style="1686" hidden="1" customWidth="1"/>
    <col min="15" max="15" width="23.42578125" style="1686" hidden="1" customWidth="1"/>
    <col min="16" max="16" width="3.7109375" style="1686" hidden="1" customWidth="1"/>
    <col min="17" max="17" width="3.7109375" style="1673" hidden="1" customWidth="1"/>
    <col min="18" max="18" width="3.7109375" style="1677" customWidth="1"/>
    <col min="19" max="19" width="12.7109375" style="1727" customWidth="1"/>
    <col min="20" max="20" width="32" style="1846" customWidth="1"/>
    <col min="21" max="21" width="0.140625" style="1846" customWidth="1"/>
    <col min="22" max="25" width="21.7109375" style="1846" hidden="1" customWidth="1"/>
    <col min="26" max="26" width="11.7109375" style="1846" hidden="1" customWidth="1"/>
    <col min="27" max="27" width="3.7109375" style="1846" hidden="1" customWidth="1"/>
    <col min="28" max="28" width="11.7109375" style="1846" hidden="1" customWidth="1"/>
    <col min="29" max="29" width="8.5703125" style="1846" hidden="1" customWidth="1"/>
    <col min="30" max="32" width="3.7109375" style="1846" customWidth="1"/>
    <col min="33" max="33" width="24.7109375" style="1846" customWidth="1"/>
    <col min="34" max="36" width="3.7109375" style="1846" customWidth="1"/>
    <col min="37" max="37" width="24.7109375" style="1846" customWidth="1"/>
    <col min="38" max="40" width="3.7109375" style="1846" customWidth="1"/>
    <col min="41" max="41" width="18.85546875" style="1846" customWidth="1"/>
    <col min="42" max="44" width="3.7109375" style="1846" customWidth="1"/>
    <col min="45" max="45" width="18.85546875" style="1846" customWidth="1"/>
    <col min="46" max="49" width="21.7109375" style="1846" customWidth="1"/>
    <col min="50" max="50" width="11.7109375" style="1846" customWidth="1"/>
    <col min="51" max="51" width="3.7109375" style="1846" customWidth="1"/>
    <col min="52" max="52" width="11.7109375" style="1846" customWidth="1"/>
    <col min="53" max="53" width="8.5703125" style="1846" hidden="1" customWidth="1"/>
    <col min="54" max="54" width="4.7109375" style="1846" customWidth="1"/>
    <col min="55" max="55" width="115.7109375" style="1846" customWidth="1"/>
    <col min="56" max="57" width="10.5703125" style="1772"/>
    <col min="58" max="58" width="11.140625" style="1772" customWidth="1"/>
    <col min="59" max="60" width="10.5703125" style="1772"/>
  </cols>
  <sheetData>
    <row r="1" spans="1:60" ht="14.25" hidden="1" customHeight="1">
      <c r="W1" s="254"/>
      <c r="Y1" s="254"/>
      <c r="Z1" s="254"/>
      <c r="AW1" s="254"/>
      <c r="AX1" s="254"/>
    </row>
    <row r="2" spans="1:60" ht="21" hidden="1" customHeight="1">
      <c r="A2" s="1244"/>
      <c r="B2" s="1244"/>
      <c r="C2" s="1244"/>
      <c r="D2" s="1244"/>
      <c r="E2" s="2235">
        <v>1</v>
      </c>
      <c r="F2" s="1244"/>
      <c r="G2" s="1244"/>
      <c r="H2" s="1244"/>
      <c r="I2" s="1244"/>
      <c r="J2" s="1244"/>
      <c r="K2" s="1244"/>
      <c r="L2" s="1245"/>
      <c r="M2" s="1246"/>
      <c r="N2" s="1246"/>
      <c r="O2" s="1246"/>
      <c r="P2" s="1279"/>
      <c r="Q2" s="771"/>
      <c r="R2" s="279"/>
      <c r="S2" s="1355" t="e">
        <f>INDEX(PT_DIFFERENTIATION_NUM_NTAR,MATCH(A2,PT_DIFFERENTIATION_NTAR_ID,0))</f>
        <v>#N/A</v>
      </c>
      <c r="T2" s="216" t="s">
        <v>124</v>
      </c>
      <c r="U2" s="218"/>
      <c r="V2" s="2230"/>
      <c r="W2" s="2230"/>
      <c r="X2" s="2230"/>
      <c r="Y2" s="2230"/>
      <c r="Z2" s="2230"/>
      <c r="AA2" s="2230"/>
      <c r="AB2" s="2230"/>
      <c r="AC2" s="2231"/>
      <c r="AD2" s="2229" t="e">
        <f>INDEX(PT_DIFFERENTIATION_NTAR,MATCH(A2,PT_DIFFERENTIATION_NTAR_ID,0))</f>
        <v>#N/A</v>
      </c>
      <c r="AE2" s="2230"/>
      <c r="AF2" s="2230"/>
      <c r="AG2" s="2230"/>
      <c r="AH2" s="2230"/>
      <c r="AI2" s="2230"/>
      <c r="AJ2" s="2230"/>
      <c r="AK2" s="2230"/>
      <c r="AL2" s="2230"/>
      <c r="AM2" s="2230"/>
      <c r="AN2" s="2230"/>
      <c r="AO2" s="2230"/>
      <c r="AP2" s="2230"/>
      <c r="AQ2" s="2230"/>
      <c r="AR2" s="2230"/>
      <c r="AS2" s="2230"/>
      <c r="AT2" s="2230"/>
      <c r="AU2" s="2230"/>
      <c r="AV2" s="2230"/>
      <c r="AW2" s="2230"/>
      <c r="AX2" s="2230"/>
      <c r="AY2" s="2230"/>
      <c r="AZ2" s="2230"/>
      <c r="BA2" s="2230"/>
      <c r="BB2" s="2231"/>
      <c r="BC2" s="114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28"/>
      <c r="BF2" s="428" t="str">
        <f t="shared" ref="BF2:BF8" si="0">IF(T2="","",T2)</f>
        <v>Наименование тарифа</v>
      </c>
      <c r="BG2" s="428"/>
      <c r="BH2" s="428"/>
    </row>
    <row r="3" spans="1:60" ht="21" hidden="1" customHeight="1">
      <c r="A3" s="1244"/>
      <c r="B3" s="1244"/>
      <c r="C3" s="1244"/>
      <c r="D3" s="1244"/>
      <c r="E3" s="2236"/>
      <c r="F3" s="2235">
        <v>1</v>
      </c>
      <c r="G3" s="1244"/>
      <c r="H3" s="1244"/>
      <c r="I3" s="1244"/>
      <c r="J3" s="1244"/>
      <c r="K3" s="1244"/>
      <c r="L3" s="1245"/>
      <c r="M3" s="1246"/>
      <c r="N3" s="1246"/>
      <c r="O3" s="1246"/>
      <c r="P3" s="1280"/>
      <c r="Q3" s="1281"/>
      <c r="R3" s="277"/>
      <c r="S3" s="1355" t="e">
        <f>INDEX(PT_DIFFERENTIATION_NUM_TER,MATCH(B3,PT_DIFFERENTIATION_TER_ID,0))</f>
        <v>#N/A</v>
      </c>
      <c r="T3" s="228" t="s">
        <v>1461</v>
      </c>
      <c r="U3" s="218"/>
      <c r="V3" s="2230"/>
      <c r="W3" s="2230"/>
      <c r="X3" s="2230"/>
      <c r="Y3" s="2230"/>
      <c r="Z3" s="2230"/>
      <c r="AA3" s="2230"/>
      <c r="AB3" s="2230"/>
      <c r="AC3" s="2231"/>
      <c r="AD3" s="2229" t="e">
        <f>INDEX(PT_DIFFERENTIATION_TER,MATCH(B3,PT_DIFFERENTIATION_TER_ID,0))</f>
        <v>#N/A</v>
      </c>
      <c r="AE3" s="2230"/>
      <c r="AF3" s="2230"/>
      <c r="AG3" s="2230"/>
      <c r="AH3" s="2230"/>
      <c r="AI3" s="2230"/>
      <c r="AJ3" s="2230"/>
      <c r="AK3" s="2230"/>
      <c r="AL3" s="2230"/>
      <c r="AM3" s="2230"/>
      <c r="AN3" s="2230"/>
      <c r="AO3" s="2230"/>
      <c r="AP3" s="2230"/>
      <c r="AQ3" s="2230"/>
      <c r="AR3" s="2230"/>
      <c r="AS3" s="2230"/>
      <c r="AT3" s="2230"/>
      <c r="AU3" s="2230"/>
      <c r="AV3" s="2230"/>
      <c r="AW3" s="2230"/>
      <c r="AX3" s="2230"/>
      <c r="AY3" s="2230"/>
      <c r="AZ3" s="2230"/>
      <c r="BA3" s="2230"/>
      <c r="BB3" s="2231"/>
      <c r="BC3" s="1140" t="s">
        <v>1462</v>
      </c>
      <c r="BE3" s="428"/>
      <c r="BF3" s="428" t="str">
        <f t="shared" si="0"/>
        <v>Территория действия тарифа</v>
      </c>
      <c r="BG3" s="428"/>
      <c r="BH3" s="428"/>
    </row>
    <row r="4" spans="1:60" ht="33.75" hidden="1" customHeight="1">
      <c r="A4" s="1244"/>
      <c r="B4" s="1244"/>
      <c r="C4" s="1244"/>
      <c r="D4" s="1244"/>
      <c r="E4" s="2236"/>
      <c r="F4" s="2236"/>
      <c r="G4" s="2235">
        <v>1</v>
      </c>
      <c r="H4" s="1244"/>
      <c r="I4" s="1244"/>
      <c r="J4" s="1244"/>
      <c r="K4" s="1244"/>
      <c r="L4" s="1245"/>
      <c r="M4" s="1246"/>
      <c r="N4" s="1246"/>
      <c r="O4" s="1246"/>
      <c r="P4" s="1282"/>
      <c r="Q4" s="1281"/>
      <c r="R4" s="277"/>
      <c r="S4" s="1355" t="e">
        <f>INDEX(PT_DIFFERENTIATION_NUM_CS,MATCH(C4,PT_DIFFERENTIATION_CS_ID,0))</f>
        <v>#N/A</v>
      </c>
      <c r="T4" s="229" t="s">
        <v>2098</v>
      </c>
      <c r="U4" s="218"/>
      <c r="V4" s="2230"/>
      <c r="W4" s="2230"/>
      <c r="X4" s="2230"/>
      <c r="Y4" s="2230"/>
      <c r="Z4" s="2230"/>
      <c r="AA4" s="2230"/>
      <c r="AB4" s="2230"/>
      <c r="AC4" s="2231"/>
      <c r="AD4" s="2229" t="e">
        <f>INDEX(PT_DIFFERENTIATION_CS,MATCH(C4,PT_DIFFERENTIATION_CS_ID,0))</f>
        <v>#N/A</v>
      </c>
      <c r="AE4" s="2230"/>
      <c r="AF4" s="2230"/>
      <c r="AG4" s="2230"/>
      <c r="AH4" s="2230"/>
      <c r="AI4" s="2230"/>
      <c r="AJ4" s="2230"/>
      <c r="AK4" s="2230"/>
      <c r="AL4" s="2230"/>
      <c r="AM4" s="2230"/>
      <c r="AN4" s="2230"/>
      <c r="AO4" s="2230"/>
      <c r="AP4" s="2230"/>
      <c r="AQ4" s="2230"/>
      <c r="AR4" s="2230"/>
      <c r="AS4" s="2230"/>
      <c r="AT4" s="2230"/>
      <c r="AU4" s="2230"/>
      <c r="AV4" s="2230"/>
      <c r="AW4" s="2230"/>
      <c r="AX4" s="2230"/>
      <c r="AY4" s="2230"/>
      <c r="AZ4" s="2230"/>
      <c r="BA4" s="2230"/>
      <c r="BB4" s="2231"/>
      <c r="BC4" s="1140" t="s">
        <v>2099</v>
      </c>
      <c r="BE4" s="428"/>
      <c r="BF4" s="428" t="str">
        <f t="shared" si="0"/>
        <v>Наименование централизованной системы горячего водоснабжения</v>
      </c>
      <c r="BG4" s="428"/>
      <c r="BH4" s="428"/>
    </row>
    <row r="5" spans="1:60" s="1772" customFormat="1" ht="14.25" hidden="1" customHeight="1">
      <c r="A5" s="1228"/>
      <c r="B5" s="1228"/>
      <c r="C5" s="1228"/>
      <c r="D5" s="1228"/>
      <c r="E5" s="2236"/>
      <c r="F5" s="2236"/>
      <c r="G5" s="2236"/>
      <c r="H5" s="2235">
        <v>1</v>
      </c>
      <c r="I5" s="1228"/>
      <c r="J5" s="1228"/>
      <c r="K5" s="1228"/>
      <c r="L5" s="1231"/>
      <c r="M5" s="1201"/>
      <c r="N5" s="1201"/>
      <c r="O5" s="1201"/>
      <c r="P5" s="1358"/>
      <c r="Q5" s="1359"/>
      <c r="R5" s="281"/>
      <c r="S5" s="932"/>
      <c r="T5" s="1360"/>
      <c r="U5" s="1264"/>
      <c r="V5" s="2264"/>
      <c r="W5" s="2264"/>
      <c r="X5" s="2264"/>
      <c r="Y5" s="2264"/>
      <c r="Z5" s="2264"/>
      <c r="AA5" s="2264"/>
      <c r="AB5" s="2264"/>
      <c r="AC5" s="2265"/>
      <c r="AD5" s="2263"/>
      <c r="AE5" s="2264"/>
      <c r="AF5" s="2264"/>
      <c r="AG5" s="2264"/>
      <c r="AH5" s="2264"/>
      <c r="AI5" s="2264"/>
      <c r="AJ5" s="2264"/>
      <c r="AK5" s="2264"/>
      <c r="AL5" s="2264"/>
      <c r="AM5" s="2264"/>
      <c r="AN5" s="2264"/>
      <c r="AO5" s="2264"/>
      <c r="AP5" s="2264"/>
      <c r="AQ5" s="2264"/>
      <c r="AR5" s="2264"/>
      <c r="AS5" s="2264"/>
      <c r="AT5" s="2264"/>
      <c r="AU5" s="2264"/>
      <c r="AV5" s="2264"/>
      <c r="AW5" s="2264"/>
      <c r="AX5" s="2264"/>
      <c r="AY5" s="2264"/>
      <c r="AZ5" s="2264"/>
      <c r="BA5" s="2264"/>
      <c r="BB5" s="2265"/>
      <c r="BC5" s="1265" t="s">
        <v>1466</v>
      </c>
      <c r="BE5" s="428"/>
      <c r="BF5" s="428" t="str">
        <f t="shared" si="0"/>
        <v/>
      </c>
      <c r="BG5" s="428"/>
      <c r="BH5" s="428"/>
    </row>
    <row r="6" spans="1:60" s="1772" customFormat="1" ht="14.25" hidden="1" customHeight="1">
      <c r="A6" s="1228"/>
      <c r="B6" s="1228"/>
      <c r="C6" s="1228"/>
      <c r="D6" s="1228"/>
      <c r="E6" s="2236"/>
      <c r="F6" s="2236"/>
      <c r="G6" s="2236"/>
      <c r="H6" s="2236"/>
      <c r="I6" s="2237" t="str">
        <f>S5&amp;".1"</f>
        <v>.1</v>
      </c>
      <c r="J6" s="1228"/>
      <c r="K6" s="1228"/>
      <c r="L6" s="1231" t="s">
        <v>1467</v>
      </c>
      <c r="M6" s="438"/>
      <c r="N6" s="438"/>
      <c r="O6" s="438"/>
      <c r="P6" s="2157">
        <v>1</v>
      </c>
      <c r="Q6" s="1343"/>
      <c r="R6" s="280"/>
      <c r="S6" s="932"/>
      <c r="T6" s="1263"/>
      <c r="U6" s="1264"/>
      <c r="V6" s="2264"/>
      <c r="W6" s="2264"/>
      <c r="X6" s="2264"/>
      <c r="Y6" s="2264"/>
      <c r="Z6" s="2264"/>
      <c r="AA6" s="2264"/>
      <c r="AB6" s="2264"/>
      <c r="AC6" s="2265"/>
      <c r="AD6" s="2263"/>
      <c r="AE6" s="2264"/>
      <c r="AF6" s="2264"/>
      <c r="AG6" s="2264"/>
      <c r="AH6" s="2264"/>
      <c r="AI6" s="2264"/>
      <c r="AJ6" s="2264"/>
      <c r="AK6" s="2264"/>
      <c r="AL6" s="2264"/>
      <c r="AM6" s="2264"/>
      <c r="AN6" s="2264"/>
      <c r="AO6" s="2264"/>
      <c r="AP6" s="2264"/>
      <c r="AQ6" s="2264"/>
      <c r="AR6" s="2264"/>
      <c r="AS6" s="2264"/>
      <c r="AT6" s="2264"/>
      <c r="AU6" s="2264"/>
      <c r="AV6" s="2264"/>
      <c r="AW6" s="2264"/>
      <c r="AX6" s="2264"/>
      <c r="AY6" s="2264"/>
      <c r="AZ6" s="2264"/>
      <c r="BA6" s="2264"/>
      <c r="BB6" s="2265"/>
      <c r="BC6" s="1265"/>
      <c r="BE6" s="428"/>
      <c r="BF6" s="428" t="str">
        <f t="shared" si="0"/>
        <v/>
      </c>
      <c r="BG6" s="428"/>
      <c r="BH6" s="428"/>
    </row>
    <row r="7" spans="1:60" s="1772" customFormat="1" ht="14.25" hidden="1" customHeight="1">
      <c r="A7" s="1228"/>
      <c r="B7" s="1228"/>
      <c r="C7" s="1228"/>
      <c r="D7" s="1228"/>
      <c r="E7" s="2236"/>
      <c r="F7" s="2236"/>
      <c r="G7" s="2236"/>
      <c r="H7" s="2236"/>
      <c r="I7" s="2238"/>
      <c r="J7" s="2237" t="str">
        <f>S5&amp;".1"</f>
        <v>.1</v>
      </c>
      <c r="K7" s="1228"/>
      <c r="L7" s="1231"/>
      <c r="M7" s="438"/>
      <c r="N7" s="438"/>
      <c r="O7" s="438"/>
      <c r="P7" s="2157"/>
      <c r="Q7" s="2157">
        <v>1</v>
      </c>
      <c r="R7" s="281"/>
      <c r="S7" s="932"/>
      <c r="T7" s="1273"/>
      <c r="U7" s="1264"/>
      <c r="V7" s="2264"/>
      <c r="W7" s="2264"/>
      <c r="X7" s="2264"/>
      <c r="Y7" s="2264"/>
      <c r="Z7" s="2264"/>
      <c r="AA7" s="2264"/>
      <c r="AB7" s="2264"/>
      <c r="AC7" s="2265"/>
      <c r="AD7" s="2263"/>
      <c r="AE7" s="2264"/>
      <c r="AF7" s="2264"/>
      <c r="AG7" s="2264"/>
      <c r="AH7" s="2264"/>
      <c r="AI7" s="2264"/>
      <c r="AJ7" s="2264"/>
      <c r="AK7" s="2264"/>
      <c r="AL7" s="2264"/>
      <c r="AM7" s="2264"/>
      <c r="AN7" s="2264"/>
      <c r="AO7" s="2264"/>
      <c r="AP7" s="2264"/>
      <c r="AQ7" s="2264"/>
      <c r="AR7" s="2264"/>
      <c r="AS7" s="2264"/>
      <c r="AT7" s="2264"/>
      <c r="AU7" s="2264"/>
      <c r="AV7" s="2264"/>
      <c r="AW7" s="2264"/>
      <c r="AX7" s="2264"/>
      <c r="AY7" s="2264"/>
      <c r="AZ7" s="2264"/>
      <c r="BA7" s="2264"/>
      <c r="BB7" s="2265"/>
      <c r="BC7" s="1265"/>
      <c r="BE7" s="428"/>
      <c r="BF7" s="428" t="str">
        <f t="shared" si="0"/>
        <v/>
      </c>
      <c r="BG7" s="428"/>
      <c r="BH7" s="428"/>
    </row>
    <row r="8" spans="1:60" ht="11.25" hidden="1" customHeight="1">
      <c r="A8" s="1244"/>
      <c r="B8" s="1244"/>
      <c r="C8" s="1244"/>
      <c r="D8" s="1244"/>
      <c r="E8" s="2236"/>
      <c r="F8" s="2236"/>
      <c r="G8" s="2236"/>
      <c r="H8" s="2236"/>
      <c r="I8" s="2238"/>
      <c r="J8" s="2238"/>
      <c r="K8" s="2237" t="e">
        <f>S4&amp;".1"</f>
        <v>#N/A</v>
      </c>
      <c r="L8" s="1245"/>
      <c r="P8" s="2157"/>
      <c r="Q8" s="2157"/>
      <c r="R8" s="2289">
        <v>1</v>
      </c>
      <c r="S8" s="2286" t="e">
        <f>$K8</f>
        <v>#N/A</v>
      </c>
      <c r="T8" s="2336"/>
      <c r="U8" s="218"/>
      <c r="V8" s="1667"/>
      <c r="W8" s="1669"/>
      <c r="X8" s="1667"/>
      <c r="Y8" s="1669"/>
      <c r="Z8" s="1593"/>
      <c r="AA8" s="1332" t="s">
        <v>66</v>
      </c>
      <c r="AB8" s="1593"/>
      <c r="AC8" s="1332" t="s">
        <v>66</v>
      </c>
      <c r="AD8" s="2093" t="s">
        <v>66</v>
      </c>
      <c r="AE8" s="2282"/>
      <c r="AF8" s="2281">
        <v>1</v>
      </c>
      <c r="AG8" s="2335"/>
      <c r="AH8" s="2031" t="s">
        <v>66</v>
      </c>
      <c r="AI8" s="2282"/>
      <c r="AJ8" s="2281">
        <v>1</v>
      </c>
      <c r="AK8" s="2334" t="s">
        <v>17</v>
      </c>
      <c r="AL8" s="2031" t="s">
        <v>66</v>
      </c>
      <c r="AM8" s="2081"/>
      <c r="AN8" s="2281">
        <v>1</v>
      </c>
      <c r="AO8" s="2339"/>
      <c r="AP8" s="2340" t="s">
        <v>66</v>
      </c>
      <c r="AQ8" s="231"/>
      <c r="AR8" s="1348">
        <v>1</v>
      </c>
      <c r="AS8" s="1354" t="s">
        <v>17</v>
      </c>
      <c r="AT8" s="1667"/>
      <c r="AU8" s="1669"/>
      <c r="AV8" s="1667"/>
      <c r="AW8" s="1669"/>
      <c r="AX8" s="1593"/>
      <c r="AY8" s="1332" t="s">
        <v>66</v>
      </c>
      <c r="AZ8" s="1593"/>
      <c r="BA8" s="1332" t="s">
        <v>66</v>
      </c>
      <c r="BB8" s="1675"/>
      <c r="BC8" s="2257" t="s">
        <v>1696</v>
      </c>
      <c r="BE8" s="428"/>
      <c r="BF8" s="428" t="str">
        <f t="shared" si="0"/>
        <v/>
      </c>
      <c r="BG8" s="428"/>
      <c r="BH8" s="428"/>
    </row>
    <row r="9" spans="1:60" ht="11.25" hidden="1" customHeight="1">
      <c r="A9" s="1244"/>
      <c r="B9" s="1244"/>
      <c r="C9" s="1244"/>
      <c r="D9" s="1244"/>
      <c r="E9" s="2236"/>
      <c r="F9" s="2236"/>
      <c r="G9" s="2236"/>
      <c r="H9" s="2236"/>
      <c r="I9" s="2238"/>
      <c r="J9" s="2238"/>
      <c r="K9" s="2237"/>
      <c r="L9" s="1245"/>
      <c r="P9" s="2157"/>
      <c r="Q9" s="2157"/>
      <c r="R9" s="2289"/>
      <c r="S9" s="2287"/>
      <c r="T9" s="2337"/>
      <c r="U9" s="218"/>
      <c r="V9" s="1683"/>
      <c r="W9" s="1689"/>
      <c r="X9" s="1683"/>
      <c r="Y9" s="1689"/>
      <c r="Z9" s="1683"/>
      <c r="AA9" s="1683"/>
      <c r="AB9" s="1683"/>
      <c r="AC9" s="1683"/>
      <c r="AD9" s="2094"/>
      <c r="AE9" s="2282"/>
      <c r="AF9" s="2281"/>
      <c r="AG9" s="2335"/>
      <c r="AH9" s="2031"/>
      <c r="AI9" s="2282"/>
      <c r="AJ9" s="2281"/>
      <c r="AK9" s="2334"/>
      <c r="AL9" s="2031"/>
      <c r="AM9" s="2086"/>
      <c r="AN9" s="2281"/>
      <c r="AO9" s="2339"/>
      <c r="AP9" s="2341"/>
      <c r="AQ9" s="238"/>
      <c r="AR9" s="351"/>
      <c r="AS9" s="351" t="s">
        <v>1697</v>
      </c>
      <c r="AT9" s="1683"/>
      <c r="AU9" s="1689"/>
      <c r="AV9" s="1683"/>
      <c r="AW9" s="1689"/>
      <c r="AX9" s="1683"/>
      <c r="AY9" s="1683"/>
      <c r="AZ9" s="1683"/>
      <c r="BA9" s="1683"/>
      <c r="BB9" s="1688"/>
      <c r="BC9" s="2258"/>
      <c r="BE9" s="428"/>
      <c r="BF9" s="428"/>
      <c r="BG9" s="428"/>
      <c r="BH9" s="428"/>
    </row>
    <row r="10" spans="1:60" ht="11.25" hidden="1" customHeight="1">
      <c r="A10" s="1244"/>
      <c r="B10" s="1244"/>
      <c r="C10" s="1244"/>
      <c r="D10" s="1244"/>
      <c r="E10" s="2236"/>
      <c r="F10" s="2236"/>
      <c r="G10" s="2236"/>
      <c r="H10" s="2236"/>
      <c r="I10" s="2238"/>
      <c r="J10" s="2238"/>
      <c r="K10" s="2237"/>
      <c r="L10" s="1245"/>
      <c r="P10" s="2157"/>
      <c r="Q10" s="2157"/>
      <c r="R10" s="2289"/>
      <c r="S10" s="2287"/>
      <c r="T10" s="2337"/>
      <c r="U10" s="218"/>
      <c r="V10" s="1683"/>
      <c r="W10" s="1689"/>
      <c r="X10" s="1683"/>
      <c r="Y10" s="1689"/>
      <c r="Z10" s="1683"/>
      <c r="AA10" s="1683"/>
      <c r="AB10" s="1683"/>
      <c r="AC10" s="1683"/>
      <c r="AD10" s="2094"/>
      <c r="AE10" s="2282"/>
      <c r="AF10" s="2281"/>
      <c r="AG10" s="2335"/>
      <c r="AH10" s="2031"/>
      <c r="AI10" s="2282"/>
      <c r="AJ10" s="2281"/>
      <c r="AK10" s="2334"/>
      <c r="AL10" s="2031"/>
      <c r="AM10" s="238"/>
      <c r="AN10" s="1361"/>
      <c r="AO10" s="1361" t="s">
        <v>1698</v>
      </c>
      <c r="AP10" s="351"/>
      <c r="AQ10" s="351"/>
      <c r="AR10" s="351"/>
      <c r="AS10" s="1683"/>
      <c r="AT10" s="1683"/>
      <c r="AU10" s="1689"/>
      <c r="AV10" s="1683"/>
      <c r="AW10" s="1689"/>
      <c r="AX10" s="1683"/>
      <c r="AY10" s="1683"/>
      <c r="AZ10" s="1683"/>
      <c r="BA10" s="1683"/>
      <c r="BB10" s="1688"/>
      <c r="BC10" s="2258"/>
      <c r="BE10" s="428"/>
      <c r="BF10" s="428"/>
      <c r="BG10" s="428"/>
      <c r="BH10" s="428"/>
    </row>
    <row r="11" spans="1:60" ht="11.25" hidden="1" customHeight="1">
      <c r="A11" s="1244"/>
      <c r="B11" s="1244"/>
      <c r="C11" s="1244"/>
      <c r="D11" s="1244"/>
      <c r="E11" s="2236"/>
      <c r="F11" s="2236"/>
      <c r="G11" s="2236"/>
      <c r="H11" s="2236"/>
      <c r="I11" s="2238"/>
      <c r="J11" s="2238"/>
      <c r="K11" s="2237"/>
      <c r="L11" s="1245"/>
      <c r="P11" s="2157"/>
      <c r="Q11" s="2157"/>
      <c r="R11" s="2289"/>
      <c r="S11" s="2287"/>
      <c r="T11" s="2337"/>
      <c r="U11" s="218"/>
      <c r="V11" s="1683"/>
      <c r="W11" s="1689"/>
      <c r="X11" s="1683"/>
      <c r="Y11" s="1689"/>
      <c r="Z11" s="1683"/>
      <c r="AA11" s="1683"/>
      <c r="AB11" s="1683"/>
      <c r="AC11" s="1683"/>
      <c r="AD11" s="2094"/>
      <c r="AE11" s="2282"/>
      <c r="AF11" s="2281"/>
      <c r="AG11" s="2335"/>
      <c r="AH11" s="2031"/>
      <c r="AI11" s="212"/>
      <c r="AJ11" s="350"/>
      <c r="AK11" s="233" t="s">
        <v>1699</v>
      </c>
      <c r="AL11" s="1683"/>
      <c r="AM11" s="1683"/>
      <c r="AN11" s="1683"/>
      <c r="AO11" s="1683"/>
      <c r="AP11" s="1683"/>
      <c r="AQ11" s="1683"/>
      <c r="AR11" s="1683"/>
      <c r="AS11" s="1683"/>
      <c r="AT11" s="1683"/>
      <c r="AU11" s="1689"/>
      <c r="AV11" s="1683"/>
      <c r="AW11" s="1689"/>
      <c r="AX11" s="1683"/>
      <c r="AY11" s="1683"/>
      <c r="AZ11" s="1683"/>
      <c r="BA11" s="1683"/>
      <c r="BB11" s="1688"/>
      <c r="BC11" s="2258"/>
      <c r="BE11" s="428"/>
      <c r="BF11" s="428"/>
      <c r="BG11" s="428"/>
      <c r="BH11" s="428"/>
    </row>
    <row r="12" spans="1:60" ht="11.25" hidden="1" customHeight="1">
      <c r="A12" s="1244"/>
      <c r="B12" s="1244"/>
      <c r="C12" s="1244"/>
      <c r="D12" s="1244"/>
      <c r="E12" s="2236"/>
      <c r="F12" s="2236"/>
      <c r="G12" s="2236"/>
      <c r="H12" s="2236"/>
      <c r="I12" s="2238"/>
      <c r="J12" s="2238"/>
      <c r="K12" s="2237"/>
      <c r="L12" s="1245"/>
      <c r="P12" s="2157"/>
      <c r="Q12" s="2157"/>
      <c r="R12" s="2289"/>
      <c r="S12" s="2288"/>
      <c r="T12" s="2338"/>
      <c r="U12" s="218"/>
      <c r="V12" s="1683"/>
      <c r="W12" s="1684" t="str">
        <f>Z8&amp;"-"&amp;AB8</f>
        <v>-</v>
      </c>
      <c r="X12" s="1683"/>
      <c r="Y12" s="1684" t="str">
        <f>AB8&amp;"-"&amp;AD8</f>
        <v>-да</v>
      </c>
      <c r="Z12" s="1683"/>
      <c r="AA12" s="1683"/>
      <c r="AB12" s="1683"/>
      <c r="AC12" s="1683"/>
      <c r="AD12" s="2036"/>
      <c r="AE12" s="232"/>
      <c r="AF12" s="234"/>
      <c r="AG12" s="351" t="s">
        <v>1700</v>
      </c>
      <c r="AH12" s="1683"/>
      <c r="AI12" s="1683"/>
      <c r="AJ12" s="1683"/>
      <c r="AK12" s="1683"/>
      <c r="AL12" s="1683"/>
      <c r="AM12" s="1683"/>
      <c r="AN12" s="1683"/>
      <c r="AO12" s="1683"/>
      <c r="AP12" s="1683"/>
      <c r="AQ12" s="1683"/>
      <c r="AR12" s="1683"/>
      <c r="AS12" s="1683"/>
      <c r="AT12" s="1683"/>
      <c r="AU12" s="1684" t="str">
        <f>AX8&amp;"-"&amp;AZ8</f>
        <v>-</v>
      </c>
      <c r="AV12" s="1683"/>
      <c r="AW12" s="1684" t="str">
        <f>AZ8&amp;"-"&amp;BB8</f>
        <v>-</v>
      </c>
      <c r="AX12" s="1683"/>
      <c r="AY12" s="1683"/>
      <c r="AZ12" s="1683"/>
      <c r="BA12" s="1683"/>
      <c r="BB12" s="1691" t="str">
        <f>BE8&amp;"-"&amp;BG8</f>
        <v>-</v>
      </c>
      <c r="BC12" s="2258"/>
      <c r="BE12" s="428"/>
      <c r="BF12" s="428" t="str">
        <f t="shared" ref="BF12:BF18" si="1">IF(T12="","",T12)</f>
        <v/>
      </c>
      <c r="BG12" s="428"/>
      <c r="BH12" s="428"/>
    </row>
    <row r="13" spans="1:60" ht="11.25" hidden="1" customHeight="1">
      <c r="A13" s="1244"/>
      <c r="B13" s="1244"/>
      <c r="C13" s="1244"/>
      <c r="D13" s="1244"/>
      <c r="E13" s="2236"/>
      <c r="F13" s="2236"/>
      <c r="G13" s="2236"/>
      <c r="H13" s="2236"/>
      <c r="I13" s="2238"/>
      <c r="J13" s="2237"/>
      <c r="K13" s="1244"/>
      <c r="L13" s="1245"/>
      <c r="P13" s="2157"/>
      <c r="Q13" s="2157"/>
      <c r="R13" s="280"/>
      <c r="S13" s="1161"/>
      <c r="T13" s="205" t="s">
        <v>1541</v>
      </c>
      <c r="U13" s="294"/>
      <c r="V13" s="294"/>
      <c r="W13" s="294"/>
      <c r="X13" s="294"/>
      <c r="Y13" s="294"/>
      <c r="Z13" s="294"/>
      <c r="AA13" s="294"/>
      <c r="AB13" s="294"/>
      <c r="AC13" s="294"/>
      <c r="AD13" s="1366"/>
      <c r="AE13" s="294"/>
      <c r="AF13" s="294"/>
      <c r="AG13" s="294"/>
      <c r="AH13" s="294"/>
      <c r="AI13" s="294"/>
      <c r="AJ13" s="294"/>
      <c r="AK13" s="294"/>
      <c r="AL13" s="294"/>
      <c r="AM13" s="294"/>
      <c r="AN13" s="294"/>
      <c r="AO13" s="294"/>
      <c r="AP13" s="294"/>
      <c r="AQ13" s="294"/>
      <c r="AR13" s="294"/>
      <c r="AS13" s="294"/>
      <c r="AT13" s="294"/>
      <c r="AU13" s="294"/>
      <c r="AV13" s="294"/>
      <c r="AW13" s="294"/>
      <c r="AX13" s="294"/>
      <c r="AY13" s="294"/>
      <c r="AZ13" s="294"/>
      <c r="BA13" s="294"/>
      <c r="BB13" s="251"/>
      <c r="BC13" s="2259"/>
      <c r="BE13" s="428"/>
      <c r="BF13" s="428" t="str">
        <f t="shared" si="1"/>
        <v>Добавить строку</v>
      </c>
      <c r="BG13" s="428"/>
      <c r="BH13" s="428"/>
    </row>
    <row r="14" spans="1:60" s="1772" customFormat="1" ht="14.25" hidden="1" customHeight="1">
      <c r="A14" s="1228"/>
      <c r="B14" s="1228"/>
      <c r="C14" s="1228"/>
      <c r="D14" s="1228"/>
      <c r="E14" s="2236"/>
      <c r="F14" s="2236"/>
      <c r="G14" s="2236"/>
      <c r="H14" s="2236"/>
      <c r="I14" s="2237"/>
      <c r="J14" s="1228"/>
      <c r="K14" s="1228"/>
      <c r="L14" s="1231"/>
      <c r="M14" s="438"/>
      <c r="N14" s="438"/>
      <c r="O14" s="438"/>
      <c r="P14" s="2157"/>
      <c r="Q14" s="1343"/>
      <c r="R14" s="280"/>
      <c r="S14" s="1266"/>
      <c r="T14" s="1267"/>
      <c r="U14" s="1268"/>
      <c r="V14" s="1268"/>
      <c r="W14" s="1268"/>
      <c r="X14" s="1268"/>
      <c r="Y14" s="1268"/>
      <c r="Z14" s="1268"/>
      <c r="AA14" s="1268"/>
      <c r="AB14" s="1268"/>
      <c r="AC14" s="1268"/>
      <c r="AD14" s="1268"/>
      <c r="AE14" s="1268"/>
      <c r="AF14" s="1268"/>
      <c r="AG14" s="1268"/>
      <c r="AH14" s="1268"/>
      <c r="AI14" s="1268"/>
      <c r="AJ14" s="1268"/>
      <c r="AK14" s="1268"/>
      <c r="AL14" s="1268"/>
      <c r="AM14" s="1268"/>
      <c r="AN14" s="1268"/>
      <c r="AO14" s="1268"/>
      <c r="AP14" s="1268"/>
      <c r="AQ14" s="1268"/>
      <c r="AR14" s="1268"/>
      <c r="AS14" s="1268"/>
      <c r="AT14" s="1268"/>
      <c r="AU14" s="1268"/>
      <c r="AV14" s="1268"/>
      <c r="AW14" s="1268"/>
      <c r="AX14" s="1268"/>
      <c r="AY14" s="1268"/>
      <c r="AZ14" s="1268"/>
      <c r="BA14" s="1268"/>
      <c r="BB14" s="1268"/>
      <c r="BC14" s="1269"/>
      <c r="BE14" s="428"/>
      <c r="BF14" s="428" t="str">
        <f t="shared" si="1"/>
        <v/>
      </c>
      <c r="BG14" s="428"/>
      <c r="BH14" s="428"/>
    </row>
    <row r="15" spans="1:60" s="1772" customFormat="1" ht="14.25" hidden="1" customHeight="1">
      <c r="A15" s="1228"/>
      <c r="B15" s="1228"/>
      <c r="C15" s="1228"/>
      <c r="D15" s="1228"/>
      <c r="E15" s="2236"/>
      <c r="F15" s="2236"/>
      <c r="G15" s="2236"/>
      <c r="H15" s="2235"/>
      <c r="I15" s="1228"/>
      <c r="J15" s="1228"/>
      <c r="K15" s="1228"/>
      <c r="L15" s="1231"/>
      <c r="M15" s="1201"/>
      <c r="N15" s="1201"/>
      <c r="O15" s="446"/>
      <c r="P15" s="311"/>
      <c r="Q15" s="1229"/>
      <c r="R15" s="1275"/>
      <c r="S15" s="1266"/>
      <c r="T15" s="1267"/>
      <c r="U15" s="1268"/>
      <c r="V15" s="1268"/>
      <c r="W15" s="1268"/>
      <c r="X15" s="1268"/>
      <c r="Y15" s="1268"/>
      <c r="Z15" s="1268"/>
      <c r="AA15" s="1268"/>
      <c r="AB15" s="1268"/>
      <c r="AC15" s="1268"/>
      <c r="AD15" s="1268"/>
      <c r="AE15" s="1268"/>
      <c r="AF15" s="1268"/>
      <c r="AG15" s="1268"/>
      <c r="AH15" s="1268"/>
      <c r="AI15" s="1268"/>
      <c r="AJ15" s="1268"/>
      <c r="AK15" s="1268"/>
      <c r="AL15" s="1268"/>
      <c r="AM15" s="1268"/>
      <c r="AN15" s="1268"/>
      <c r="AO15" s="1268"/>
      <c r="AP15" s="1268"/>
      <c r="AQ15" s="1268"/>
      <c r="AR15" s="1268"/>
      <c r="AS15" s="1268"/>
      <c r="AT15" s="1268"/>
      <c r="AU15" s="1268"/>
      <c r="AV15" s="1268"/>
      <c r="AW15" s="1268"/>
      <c r="AX15" s="1268"/>
      <c r="AY15" s="1268"/>
      <c r="AZ15" s="1268"/>
      <c r="BA15" s="1268"/>
      <c r="BB15" s="1268"/>
      <c r="BC15" s="1269"/>
      <c r="BE15" s="428"/>
      <c r="BF15" s="428" t="str">
        <f t="shared" si="1"/>
        <v/>
      </c>
      <c r="BG15" s="428"/>
      <c r="BH15" s="428"/>
    </row>
    <row r="16" spans="1:60" s="1772" customFormat="1" ht="14.25" hidden="1" customHeight="1">
      <c r="A16" s="1228"/>
      <c r="B16" s="1228"/>
      <c r="C16" s="1228"/>
      <c r="D16" s="1200"/>
      <c r="E16" s="2236"/>
      <c r="F16" s="2236"/>
      <c r="G16" s="2235"/>
      <c r="H16" s="1200"/>
      <c r="I16" s="1200"/>
      <c r="J16" s="1200"/>
      <c r="K16" s="1200"/>
      <c r="L16" s="1356"/>
      <c r="M16" s="1201"/>
      <c r="N16" s="1201"/>
      <c r="P16" s="1202"/>
      <c r="Q16" s="1203"/>
      <c r="R16" s="1202"/>
      <c r="S16" s="1208"/>
      <c r="T16" s="1211"/>
      <c r="U16" s="1210"/>
      <c r="V16" s="1210"/>
      <c r="W16" s="1210"/>
      <c r="X16" s="1210"/>
      <c r="Y16" s="1210"/>
      <c r="Z16" s="1210"/>
      <c r="AA16" s="1210"/>
      <c r="AB16" s="1210"/>
      <c r="AC16" s="1210"/>
      <c r="AD16" s="1210"/>
      <c r="AE16" s="1210"/>
      <c r="AF16" s="1210"/>
      <c r="AG16" s="1210"/>
      <c r="AH16" s="1210"/>
      <c r="AI16" s="1210"/>
      <c r="AJ16" s="1210"/>
      <c r="AK16" s="1210"/>
      <c r="AL16" s="1210"/>
      <c r="AM16" s="1210"/>
      <c r="AN16" s="1210"/>
      <c r="AO16" s="1210"/>
      <c r="AP16" s="1210"/>
      <c r="AQ16" s="1210"/>
      <c r="AR16" s="1210"/>
      <c r="AS16" s="1210"/>
      <c r="AT16" s="1210"/>
      <c r="AU16" s="1210"/>
      <c r="AV16" s="1210"/>
      <c r="AW16" s="1210"/>
      <c r="AX16" s="1210"/>
      <c r="AY16" s="1210"/>
      <c r="AZ16" s="1210"/>
      <c r="BA16" s="1210"/>
      <c r="BB16" s="1210"/>
      <c r="BC16" s="1210"/>
      <c r="BE16" s="696"/>
      <c r="BF16" s="696" t="str">
        <f t="shared" si="1"/>
        <v/>
      </c>
      <c r="BG16" s="696"/>
      <c r="BH16" s="696"/>
    </row>
    <row r="17" spans="1:60" s="1772" customFormat="1" ht="14.25" hidden="1" customHeight="1">
      <c r="A17" s="1228"/>
      <c r="B17" s="1228"/>
      <c r="C17" s="1200"/>
      <c r="D17" s="1200"/>
      <c r="E17" s="2236"/>
      <c r="F17" s="2235"/>
      <c r="G17" s="1200"/>
      <c r="H17" s="1200"/>
      <c r="I17" s="1200"/>
      <c r="J17" s="1200"/>
      <c r="K17" s="1200"/>
      <c r="L17" s="1356"/>
      <c r="M17" s="1207"/>
      <c r="N17" s="1207"/>
      <c r="P17" s="1202"/>
      <c r="Q17" s="1203"/>
      <c r="R17" s="1202"/>
      <c r="S17" s="1208"/>
      <c r="T17" s="1211" t="s">
        <v>1437</v>
      </c>
      <c r="U17" s="1210"/>
      <c r="V17" s="1210"/>
      <c r="W17" s="1210"/>
      <c r="X17" s="1210"/>
      <c r="Y17" s="1210"/>
      <c r="Z17" s="1210"/>
      <c r="AA17" s="1210"/>
      <c r="AB17" s="1210"/>
      <c r="AC17" s="1210"/>
      <c r="AD17" s="1210"/>
      <c r="AE17" s="1210"/>
      <c r="AF17" s="1210"/>
      <c r="AG17" s="1210"/>
      <c r="AH17" s="1210"/>
      <c r="AI17" s="1210"/>
      <c r="AJ17" s="1210"/>
      <c r="AK17" s="1210"/>
      <c r="AL17" s="1210"/>
      <c r="AM17" s="1210"/>
      <c r="AN17" s="1210"/>
      <c r="AO17" s="1210"/>
      <c r="AP17" s="1210"/>
      <c r="AQ17" s="1210"/>
      <c r="AR17" s="1210"/>
      <c r="AS17" s="1210"/>
      <c r="AT17" s="1210"/>
      <c r="AU17" s="1210"/>
      <c r="AV17" s="1210"/>
      <c r="AW17" s="1210"/>
      <c r="AX17" s="1210"/>
      <c r="AY17" s="1210"/>
      <c r="AZ17" s="1210"/>
      <c r="BA17" s="1210"/>
      <c r="BB17" s="1210"/>
      <c r="BC17" s="1210"/>
      <c r="BE17" s="696"/>
      <c r="BF17" s="696" t="str">
        <f t="shared" si="1"/>
        <v>Добавить централизованную систему для дифференциации</v>
      </c>
      <c r="BG17" s="696"/>
      <c r="BH17" s="696"/>
    </row>
    <row r="18" spans="1:60" s="1772" customFormat="1" ht="14.25" hidden="1" customHeight="1">
      <c r="A18" s="1228"/>
      <c r="B18" s="1228"/>
      <c r="C18" s="1228"/>
      <c r="D18" s="1228"/>
      <c r="E18" s="2235"/>
      <c r="F18" s="1228"/>
      <c r="G18" s="1228"/>
      <c r="H18" s="1228"/>
      <c r="I18" s="1228"/>
      <c r="J18" s="1228"/>
      <c r="K18" s="1228"/>
      <c r="L18" s="1231"/>
      <c r="M18" s="1207"/>
      <c r="N18" s="1207"/>
      <c r="O18" s="446"/>
      <c r="P18" s="311"/>
      <c r="Q18" s="1229"/>
      <c r="R18" s="311"/>
      <c r="S18" s="1208"/>
      <c r="T18" s="1211" t="s">
        <v>1438</v>
      </c>
      <c r="U18" s="1210"/>
      <c r="V18" s="1210"/>
      <c r="W18" s="1210"/>
      <c r="X18" s="1210"/>
      <c r="Y18" s="1210"/>
      <c r="Z18" s="1210"/>
      <c r="AA18" s="1210"/>
      <c r="AB18" s="1210"/>
      <c r="AC18" s="1210"/>
      <c r="AD18" s="1210"/>
      <c r="AE18" s="1210"/>
      <c r="AF18" s="1210"/>
      <c r="AG18" s="1210"/>
      <c r="AH18" s="1210"/>
      <c r="AI18" s="1210"/>
      <c r="AJ18" s="1210"/>
      <c r="AK18" s="1210"/>
      <c r="AL18" s="1210"/>
      <c r="AM18" s="1210"/>
      <c r="AN18" s="1210"/>
      <c r="AO18" s="1210"/>
      <c r="AP18" s="1210"/>
      <c r="AQ18" s="1210"/>
      <c r="AR18" s="1210"/>
      <c r="AS18" s="1210"/>
      <c r="AT18" s="1210"/>
      <c r="AU18" s="1210"/>
      <c r="AV18" s="1210"/>
      <c r="AW18" s="1210"/>
      <c r="AX18" s="1210"/>
      <c r="AY18" s="1210"/>
      <c r="AZ18" s="1210"/>
      <c r="BA18" s="1210"/>
      <c r="BB18" s="1210"/>
      <c r="BC18" s="1210"/>
      <c r="BE18" s="428"/>
      <c r="BF18" s="428" t="str">
        <f t="shared" si="1"/>
        <v>Добавить территорию для дифференциации</v>
      </c>
      <c r="BG18" s="428"/>
      <c r="BH18" s="428"/>
    </row>
    <row r="19" spans="1:60" ht="14.25" hidden="1" customHeight="1">
      <c r="AC19" s="254"/>
      <c r="BA19" s="254"/>
    </row>
    <row r="20" spans="1:60" ht="14.25" hidden="1" customHeight="1">
      <c r="AD20" s="1210" t="s">
        <v>56</v>
      </c>
      <c r="AE20" s="1362"/>
      <c r="AF20" s="475">
        <v>1</v>
      </c>
      <c r="AG20" s="1363"/>
      <c r="AH20" s="1210" t="s">
        <v>56</v>
      </c>
      <c r="AI20" s="1362"/>
      <c r="AJ20" s="475">
        <v>1</v>
      </c>
      <c r="AK20" s="1363"/>
      <c r="AL20" s="1210" t="s">
        <v>56</v>
      </c>
      <c r="AM20" s="1364"/>
      <c r="AN20" s="475">
        <v>1</v>
      </c>
      <c r="AO20" s="1365"/>
      <c r="AP20" s="1210" t="s">
        <v>56</v>
      </c>
      <c r="AQ20" s="1364"/>
      <c r="AR20" s="475">
        <v>1</v>
      </c>
      <c r="AS20" s="1365"/>
      <c r="AT20" s="1668"/>
      <c r="AU20" s="1678"/>
      <c r="AV20" s="1668"/>
      <c r="AW20" s="1678"/>
      <c r="AX20" s="1595"/>
      <c r="AY20" s="1347" t="s">
        <v>66</v>
      </c>
      <c r="AZ20" s="1595"/>
      <c r="BA20" s="1347" t="s">
        <v>66</v>
      </c>
    </row>
    <row r="21" spans="1:60" ht="14.25" hidden="1" customHeight="1">
      <c r="BD21" s="424"/>
      <c r="BE21" s="424"/>
      <c r="BF21" s="424"/>
      <c r="BG21" s="424"/>
      <c r="BH21" s="424"/>
    </row>
    <row r="22" spans="1:60" ht="14.25" hidden="1" customHeight="1">
      <c r="O22" s="1248" t="s">
        <v>1478</v>
      </c>
      <c r="Z22" s="1230"/>
      <c r="AB22" s="1230"/>
      <c r="AC22" s="254"/>
      <c r="AX22" s="1230"/>
      <c r="AZ22" s="1230"/>
      <c r="BA22" s="254"/>
      <c r="BD22" s="424"/>
      <c r="BE22" s="424"/>
      <c r="BF22" s="424"/>
      <c r="BG22" s="424"/>
      <c r="BH22" s="424"/>
    </row>
    <row r="23" spans="1:60" ht="14.25" hidden="1" customHeight="1">
      <c r="AC23" s="254"/>
      <c r="BA23" s="254"/>
      <c r="BD23" s="424"/>
      <c r="BE23" s="424"/>
      <c r="BF23" s="424"/>
      <c r="BG23" s="424"/>
      <c r="BH23" s="424"/>
    </row>
    <row r="24" spans="1:60" s="1694" customFormat="1" ht="14.25" hidden="1" customHeight="1">
      <c r="M24" s="1369"/>
      <c r="N24" s="1369"/>
      <c r="O24" s="1370" t="s">
        <v>1479</v>
      </c>
      <c r="P24" s="1369"/>
      <c r="Q24" s="1371"/>
      <c r="R24" s="1371"/>
      <c r="AA24" s="1368" t="s">
        <v>1481</v>
      </c>
      <c r="AC24" s="1368" t="s">
        <v>1482</v>
      </c>
      <c r="AD24" s="1368" t="s">
        <v>1542</v>
      </c>
      <c r="AH24" s="1368" t="s">
        <v>1542</v>
      </c>
      <c r="AK24" s="1368" t="s">
        <v>1701</v>
      </c>
      <c r="AL24" s="1368" t="s">
        <v>1542</v>
      </c>
      <c r="AP24" s="1368" t="s">
        <v>1542</v>
      </c>
      <c r="AY24" s="1368" t="s">
        <v>1481</v>
      </c>
      <c r="BA24" s="1368" t="s">
        <v>1482</v>
      </c>
      <c r="BD24" s="1372"/>
      <c r="BE24" s="1372"/>
      <c r="BF24" s="1372"/>
      <c r="BG24" s="1372"/>
      <c r="BH24" s="1372"/>
    </row>
    <row r="25" spans="1:60" ht="14.25" hidden="1" customHeight="1">
      <c r="O25" s="1245"/>
      <c r="BD25" s="424"/>
      <c r="BE25" s="424"/>
      <c r="BF25" s="424"/>
      <c r="BG25" s="424"/>
      <c r="BH25" s="424"/>
    </row>
    <row r="26" spans="1:60" ht="14.25" hidden="1" customHeight="1">
      <c r="O26" s="1245"/>
      <c r="BD26" s="424"/>
      <c r="BE26" s="424"/>
      <c r="BF26" s="424"/>
      <c r="BG26" s="424"/>
      <c r="BH26" s="424"/>
    </row>
    <row r="27" spans="1:60" ht="14.25" customHeight="1">
      <c r="Q27" s="209"/>
      <c r="R27" s="304"/>
      <c r="S27" s="1158"/>
      <c r="T27" s="289"/>
      <c r="U27" s="289"/>
      <c r="V27" s="437"/>
      <c r="W27" s="437"/>
      <c r="X27" s="437"/>
      <c r="Y27" s="437"/>
      <c r="Z27" s="437"/>
      <c r="AA27" s="437"/>
      <c r="AB27" s="437"/>
      <c r="AC27" s="437"/>
      <c r="AD27" s="437"/>
      <c r="AE27" s="437"/>
      <c r="AF27" s="437"/>
      <c r="AG27" s="437"/>
      <c r="AH27" s="437"/>
      <c r="AI27" s="437"/>
      <c r="AJ27" s="437"/>
      <c r="AK27" s="437"/>
      <c r="AL27" s="437"/>
      <c r="AM27" s="437"/>
      <c r="AN27" s="437"/>
      <c r="AO27" s="437"/>
      <c r="AP27" s="437"/>
      <c r="AQ27" s="437"/>
      <c r="AR27" s="437"/>
      <c r="AS27" s="437"/>
      <c r="AT27" s="437"/>
      <c r="AU27" s="437"/>
      <c r="AV27" s="437"/>
      <c r="AW27" s="437"/>
      <c r="AX27" s="437"/>
      <c r="AY27" s="437"/>
      <c r="AZ27" s="437"/>
      <c r="BA27" s="437"/>
    </row>
    <row r="28" spans="1:60" ht="33.75" customHeight="1">
      <c r="Q28" s="209"/>
      <c r="R28" s="304"/>
      <c r="S28" s="2079" t="str">
        <f>IF(TEMPLATE_GROUP="P",PT_P_FORM_HOTVSNA_5_NAME_FORM,PT_R_FORM_HOTVSNA_17_NAME_FORM)</f>
        <v>Форма 17. Информация о предложении расчетной величины тарифов на подключение (технологическое присоединение) к централизованной системе горячего водоснабжения &lt;1&gt;</v>
      </c>
      <c r="T28" s="2079"/>
      <c r="U28" s="2079"/>
      <c r="V28" s="2079"/>
      <c r="W28" s="2079"/>
      <c r="X28" s="2079"/>
      <c r="Y28" s="2079"/>
      <c r="Z28" s="2079"/>
      <c r="AA28" s="2079"/>
      <c r="AB28" s="2079"/>
      <c r="AC28" s="2079"/>
      <c r="AD28" s="2079"/>
      <c r="AE28" s="2079"/>
      <c r="AF28" s="2079"/>
      <c r="AG28" s="2079"/>
      <c r="AH28" s="2079"/>
      <c r="AI28" s="2079"/>
      <c r="AJ28" s="2079"/>
      <c r="AK28" s="2079"/>
      <c r="AL28" s="2079"/>
      <c r="AM28" s="2079"/>
      <c r="AN28" s="2079"/>
      <c r="AO28" s="2079"/>
      <c r="AP28" s="2079"/>
      <c r="AQ28" s="2079"/>
      <c r="AR28" s="2079"/>
      <c r="AS28" s="2079"/>
      <c r="AT28" s="2079"/>
      <c r="AU28" s="2079"/>
      <c r="AV28" s="2079"/>
      <c r="AW28" s="2079"/>
      <c r="AX28" s="2079"/>
      <c r="AY28" s="2079"/>
      <c r="AZ28" s="2079"/>
      <c r="BA28" s="1116"/>
    </row>
    <row r="29" spans="1:60" ht="14.25" customHeight="1">
      <c r="Q29" s="209"/>
      <c r="R29" s="304"/>
      <c r="S29" s="2102" t="str">
        <f>IF(org=0,"Не определено",org)</f>
        <v>ООО "Автозаводская ТЭЦ"</v>
      </c>
      <c r="T29" s="2102"/>
      <c r="U29" s="2102"/>
      <c r="V29" s="2102"/>
      <c r="W29" s="2102"/>
      <c r="X29" s="2102"/>
      <c r="Y29" s="2102"/>
      <c r="Z29" s="2102"/>
      <c r="AA29" s="2102"/>
      <c r="AB29" s="2102"/>
      <c r="AC29" s="2102"/>
      <c r="AD29" s="2102"/>
      <c r="AE29" s="2102"/>
      <c r="AF29" s="2102"/>
      <c r="AG29" s="2102"/>
      <c r="AH29" s="2102"/>
      <c r="AI29" s="2102"/>
      <c r="AJ29" s="2102"/>
      <c r="AK29" s="2102"/>
      <c r="AL29" s="2102"/>
      <c r="AM29" s="2102"/>
      <c r="AN29" s="2102"/>
      <c r="AO29" s="2102"/>
      <c r="AP29" s="2102"/>
      <c r="AQ29" s="2102"/>
      <c r="AR29" s="2102"/>
      <c r="AS29" s="2102"/>
      <c r="AT29" s="2102"/>
      <c r="AU29" s="2102"/>
      <c r="AV29" s="2102"/>
      <c r="AW29" s="2102"/>
      <c r="AX29" s="2102"/>
      <c r="AY29" s="2102"/>
      <c r="AZ29" s="2102"/>
      <c r="BA29" s="1116"/>
    </row>
    <row r="30" spans="1:60" ht="14.25" hidden="1" customHeight="1">
      <c r="Q30" s="209"/>
      <c r="R30" s="304"/>
      <c r="S30" s="1158"/>
      <c r="T30" s="289"/>
      <c r="U30" s="289"/>
      <c r="V30" s="248"/>
      <c r="W30" s="248"/>
      <c r="X30" s="248"/>
      <c r="Y30" s="248"/>
      <c r="Z30" s="248"/>
      <c r="AA30" s="248"/>
      <c r="AB30" s="248"/>
      <c r="AC30" s="248"/>
      <c r="AD30" s="248"/>
      <c r="AE30" s="248"/>
      <c r="AF30" s="248"/>
      <c r="AG30" s="248"/>
      <c r="AH30" s="248"/>
      <c r="AI30" s="248"/>
      <c r="AJ30" s="248"/>
      <c r="AK30" s="248"/>
      <c r="AL30" s="248"/>
      <c r="AM30" s="248"/>
      <c r="AN30" s="248"/>
      <c r="AO30" s="248"/>
      <c r="AP30" s="248"/>
      <c r="AQ30" s="248"/>
      <c r="AR30" s="248"/>
      <c r="AS30" s="248"/>
      <c r="AT30" s="248"/>
      <c r="AU30" s="248"/>
      <c r="AV30" s="248"/>
      <c r="AW30" s="248"/>
      <c r="AX30" s="248"/>
      <c r="AY30" s="248"/>
      <c r="AZ30" s="248"/>
      <c r="BA30" s="248"/>
      <c r="BB30" s="437"/>
    </row>
    <row r="31" spans="1:60" s="1950" customFormat="1" ht="25.5" hidden="1" customHeight="1">
      <c r="A31" s="1249"/>
      <c r="B31" s="1249"/>
      <c r="C31" s="1249"/>
      <c r="D31" s="1249"/>
      <c r="E31" s="1249"/>
      <c r="F31" s="1249"/>
      <c r="G31" s="1249"/>
      <c r="H31" s="1249"/>
      <c r="I31" s="1249"/>
      <c r="J31" s="1249"/>
      <c r="K31" s="1249"/>
      <c r="L31" s="1250"/>
      <c r="M31" s="1249"/>
      <c r="N31" s="1249"/>
      <c r="O31" s="1249"/>
      <c r="P31" s="1249"/>
      <c r="Q31" s="1249"/>
      <c r="S31" s="2227" t="s">
        <v>38</v>
      </c>
      <c r="T31" s="2227"/>
      <c r="U31" s="1253"/>
      <c r="V31" s="2228"/>
      <c r="W31" s="2228"/>
      <c r="X31" s="2228"/>
      <c r="Y31" s="2228"/>
      <c r="Z31" s="2228"/>
      <c r="AA31" s="2228"/>
      <c r="AB31" s="2228"/>
      <c r="AC31" s="253"/>
      <c r="AD31" s="2228" t="str">
        <f>IF(TITLE_NAME_OR_PR_CHANGE="",IF(TITLE_NAME_OR_PR="","",TITLE_NAME_OR_PR),TITLE_NAME_OR_PR_CHANGE)</f>
        <v/>
      </c>
      <c r="AE31" s="2228"/>
      <c r="AF31" s="2228"/>
      <c r="AG31" s="2228"/>
      <c r="AH31" s="2228"/>
      <c r="AI31" s="2228"/>
      <c r="AJ31" s="2228"/>
      <c r="AK31" s="2228"/>
      <c r="AL31" s="2228"/>
      <c r="AM31" s="2228"/>
      <c r="AN31" s="2228"/>
      <c r="AO31" s="2228"/>
      <c r="AP31" s="2228"/>
      <c r="AQ31" s="2228"/>
      <c r="AR31" s="2228"/>
      <c r="AS31" s="2228"/>
      <c r="AT31" s="2228"/>
      <c r="AU31" s="2228"/>
      <c r="AV31" s="2228"/>
      <c r="AW31" s="2228"/>
      <c r="AX31" s="2228"/>
      <c r="AY31" s="2228"/>
      <c r="AZ31" s="2228"/>
      <c r="BA31" s="253"/>
      <c r="BB31" s="253"/>
      <c r="BC31" s="199"/>
      <c r="BD31" s="295"/>
      <c r="BE31" s="295"/>
      <c r="BF31" s="295"/>
      <c r="BG31" s="295"/>
      <c r="BH31" s="295"/>
    </row>
    <row r="32" spans="1:60" s="1950" customFormat="1" ht="18.75" hidden="1" customHeight="1">
      <c r="A32" s="1249"/>
      <c r="B32" s="1249"/>
      <c r="C32" s="1249"/>
      <c r="D32" s="1249"/>
      <c r="E32" s="1249"/>
      <c r="F32" s="1249"/>
      <c r="G32" s="1249"/>
      <c r="H32" s="1249"/>
      <c r="I32" s="1249"/>
      <c r="J32" s="1249"/>
      <c r="K32" s="1249"/>
      <c r="L32" s="1250"/>
      <c r="M32" s="1249"/>
      <c r="N32" s="1249"/>
      <c r="O32" s="1249"/>
      <c r="P32" s="1249"/>
      <c r="Q32" s="1249"/>
      <c r="S32" s="2227" t="s">
        <v>1484</v>
      </c>
      <c r="T32" s="2227"/>
      <c r="U32" s="1253"/>
      <c r="V32" s="2228"/>
      <c r="W32" s="2228"/>
      <c r="X32" s="2228"/>
      <c r="Y32" s="2228"/>
      <c r="Z32" s="2228"/>
      <c r="AA32" s="2228"/>
      <c r="AB32" s="2228"/>
      <c r="AC32" s="253"/>
      <c r="AD32" s="2228" t="str">
        <f>IF(TITLE_DATE_CHANGE_PERIOD="",IF(TITLE_DATE_PR="","",TITLE_DATE_PR),TITLE_DATE_CHANGE_PERIOD)</f>
        <v/>
      </c>
      <c r="AE32" s="2228"/>
      <c r="AF32" s="2228"/>
      <c r="AG32" s="2228"/>
      <c r="AH32" s="2228"/>
      <c r="AI32" s="2228"/>
      <c r="AJ32" s="2228"/>
      <c r="AK32" s="2228"/>
      <c r="AL32" s="2228"/>
      <c r="AM32" s="2228"/>
      <c r="AN32" s="2228"/>
      <c r="AO32" s="2228"/>
      <c r="AP32" s="2228"/>
      <c r="AQ32" s="2228"/>
      <c r="AR32" s="2228"/>
      <c r="AS32" s="2228"/>
      <c r="AT32" s="2228"/>
      <c r="AU32" s="2228"/>
      <c r="AV32" s="2228"/>
      <c r="AW32" s="2228"/>
      <c r="AX32" s="2228"/>
      <c r="AY32" s="2228"/>
      <c r="AZ32" s="2228"/>
      <c r="BA32" s="253"/>
      <c r="BB32" s="253"/>
      <c r="BC32" s="199"/>
      <c r="BD32" s="295"/>
      <c r="BE32" s="295"/>
      <c r="BF32" s="295"/>
      <c r="BG32" s="295"/>
      <c r="BH32" s="295"/>
    </row>
    <row r="33" spans="1:60" s="1950" customFormat="1" ht="18.75" hidden="1" customHeight="1">
      <c r="A33" s="1249"/>
      <c r="B33" s="1249"/>
      <c r="C33" s="1249"/>
      <c r="D33" s="1249"/>
      <c r="E33" s="1249"/>
      <c r="F33" s="1249"/>
      <c r="G33" s="1249"/>
      <c r="H33" s="1249"/>
      <c r="I33" s="1249"/>
      <c r="J33" s="1249"/>
      <c r="K33" s="1249"/>
      <c r="L33" s="1250"/>
      <c r="M33" s="1249"/>
      <c r="N33" s="1249"/>
      <c r="O33" s="1249"/>
      <c r="P33" s="1249"/>
      <c r="Q33" s="1249"/>
      <c r="S33" s="2227" t="s">
        <v>1485</v>
      </c>
      <c r="T33" s="2227"/>
      <c r="U33" s="1253"/>
      <c r="V33" s="2228"/>
      <c r="W33" s="2228"/>
      <c r="X33" s="2228"/>
      <c r="Y33" s="2228"/>
      <c r="Z33" s="2228"/>
      <c r="AA33" s="2228"/>
      <c r="AB33" s="2228"/>
      <c r="AC33" s="253"/>
      <c r="AD33" s="2228" t="str">
        <f>IF(TITLE_NUMBER_PR_CHANGE="",IF(TITLE_NUMBER_PR="","",TITLE_NUMBER_PR),TITLE_NUMBER_PR_CHANGE)</f>
        <v/>
      </c>
      <c r="AE33" s="2228"/>
      <c r="AF33" s="2228"/>
      <c r="AG33" s="2228"/>
      <c r="AH33" s="2228"/>
      <c r="AI33" s="2228"/>
      <c r="AJ33" s="2228"/>
      <c r="AK33" s="2228"/>
      <c r="AL33" s="2228"/>
      <c r="AM33" s="2228"/>
      <c r="AN33" s="2228"/>
      <c r="AO33" s="2228"/>
      <c r="AP33" s="2228"/>
      <c r="AQ33" s="2228"/>
      <c r="AR33" s="2228"/>
      <c r="AS33" s="2228"/>
      <c r="AT33" s="2228"/>
      <c r="AU33" s="2228"/>
      <c r="AV33" s="2228"/>
      <c r="AW33" s="2228"/>
      <c r="AX33" s="2228"/>
      <c r="AY33" s="2228"/>
      <c r="AZ33" s="2228"/>
      <c r="BA33" s="253"/>
      <c r="BB33" s="253"/>
      <c r="BC33" s="199"/>
      <c r="BD33" s="295"/>
      <c r="BE33" s="295"/>
      <c r="BF33" s="295"/>
      <c r="BG33" s="295"/>
      <c r="BH33" s="295"/>
    </row>
    <row r="34" spans="1:60" s="1950" customFormat="1" ht="18.75" hidden="1" customHeight="1">
      <c r="A34" s="1249"/>
      <c r="B34" s="1249"/>
      <c r="C34" s="1249"/>
      <c r="D34" s="1249"/>
      <c r="E34" s="1249"/>
      <c r="F34" s="1249"/>
      <c r="G34" s="1249"/>
      <c r="H34" s="1249"/>
      <c r="I34" s="1249"/>
      <c r="J34" s="1249"/>
      <c r="K34" s="1249"/>
      <c r="L34" s="1250"/>
      <c r="M34" s="1249"/>
      <c r="N34" s="1249"/>
      <c r="O34" s="1249"/>
      <c r="P34" s="1249"/>
      <c r="Q34" s="1249"/>
      <c r="S34" s="2227" t="s">
        <v>39</v>
      </c>
      <c r="T34" s="2227"/>
      <c r="U34" s="1253"/>
      <c r="V34" s="2228"/>
      <c r="W34" s="2228"/>
      <c r="X34" s="2228"/>
      <c r="Y34" s="2228"/>
      <c r="Z34" s="2228"/>
      <c r="AA34" s="2228"/>
      <c r="AB34" s="2228"/>
      <c r="AC34" s="253"/>
      <c r="AD34" s="2228" t="str">
        <f>IF(TITLE_IST_PUB_CHANGE="",IF(TITLE_IST_PUB="","",TITLE_IST_PUB),TITLE_IST_PUB_CHANGE)</f>
        <v/>
      </c>
      <c r="AE34" s="2228"/>
      <c r="AF34" s="2228"/>
      <c r="AG34" s="2228"/>
      <c r="AH34" s="2228"/>
      <c r="AI34" s="2228"/>
      <c r="AJ34" s="2228"/>
      <c r="AK34" s="2228"/>
      <c r="AL34" s="2228"/>
      <c r="AM34" s="2228"/>
      <c r="AN34" s="2228"/>
      <c r="AO34" s="2228"/>
      <c r="AP34" s="2228"/>
      <c r="AQ34" s="2228"/>
      <c r="AR34" s="2228"/>
      <c r="AS34" s="2228"/>
      <c r="AT34" s="2228"/>
      <c r="AU34" s="2228"/>
      <c r="AV34" s="2228"/>
      <c r="AW34" s="2228"/>
      <c r="AX34" s="2228"/>
      <c r="AY34" s="2228"/>
      <c r="AZ34" s="2228"/>
      <c r="BA34" s="253"/>
      <c r="BB34" s="253"/>
      <c r="BC34" s="199"/>
      <c r="BD34" s="295"/>
      <c r="BE34" s="295"/>
      <c r="BF34" s="295"/>
      <c r="BG34" s="295"/>
      <c r="BH34" s="295"/>
    </row>
    <row r="35" spans="1:60" ht="14.25" hidden="1" customHeight="1">
      <c r="Q35" s="209"/>
      <c r="R35" s="304"/>
      <c r="S35" s="1158"/>
      <c r="T35" s="289"/>
      <c r="U35" s="289"/>
      <c r="V35" s="248"/>
      <c r="W35" s="248"/>
      <c r="X35" s="248"/>
      <c r="Y35" s="248"/>
      <c r="Z35" s="248"/>
      <c r="AA35" s="248"/>
      <c r="AB35" s="248"/>
      <c r="AC35" s="248"/>
      <c r="AD35" s="248"/>
      <c r="AE35" s="248"/>
      <c r="AF35" s="248"/>
      <c r="AG35" s="248"/>
      <c r="AH35" s="248"/>
      <c r="AI35" s="248"/>
      <c r="AJ35" s="248"/>
      <c r="AK35" s="248"/>
      <c r="AL35" s="248"/>
      <c r="AM35" s="248"/>
      <c r="AN35" s="248"/>
      <c r="AO35" s="248"/>
      <c r="AP35" s="248"/>
      <c r="AQ35" s="248"/>
      <c r="AR35" s="248"/>
      <c r="AS35" s="248"/>
      <c r="AT35" s="248"/>
      <c r="AU35" s="248"/>
      <c r="AV35" s="248"/>
      <c r="AW35" s="248"/>
      <c r="AX35" s="248"/>
      <c r="AY35" s="248"/>
      <c r="AZ35" s="248"/>
      <c r="BA35" s="248"/>
      <c r="BB35" s="437"/>
    </row>
    <row r="36" spans="1:60" s="1950" customFormat="1" ht="18.75" hidden="1" customHeight="1">
      <c r="A36" s="1249"/>
      <c r="B36" s="1249"/>
      <c r="C36" s="1249"/>
      <c r="D36" s="1249"/>
      <c r="E36" s="1249"/>
      <c r="F36" s="1249"/>
      <c r="G36" s="1249"/>
      <c r="H36" s="1249"/>
      <c r="I36" s="1249"/>
      <c r="J36" s="1249"/>
      <c r="K36" s="1249"/>
      <c r="L36" s="1250"/>
      <c r="M36" s="1249"/>
      <c r="N36" s="1249"/>
      <c r="O36" s="1249"/>
      <c r="P36" s="1249"/>
      <c r="Q36" s="1249"/>
      <c r="S36" s="2227" t="s">
        <v>1484</v>
      </c>
      <c r="T36" s="2227"/>
      <c r="U36" s="1253"/>
      <c r="V36" s="2228"/>
      <c r="W36" s="2228"/>
      <c r="X36" s="2228"/>
      <c r="Y36" s="2228"/>
      <c r="Z36" s="2228"/>
      <c r="AA36" s="2228"/>
      <c r="AB36" s="2228"/>
      <c r="AC36" s="253"/>
      <c r="AD36" s="2228" t="str">
        <f>IF(TITLE_DATE_CHANGE_PERIOD="",IF(TITLE_DATE_PR="","",TITLE_DATE_PR),TITLE_DATE_CHANGE_PERIOD)</f>
        <v/>
      </c>
      <c r="AE36" s="2228"/>
      <c r="AF36" s="2228"/>
      <c r="AG36" s="2228"/>
      <c r="AH36" s="2228"/>
      <c r="AI36" s="2228"/>
      <c r="AJ36" s="2228"/>
      <c r="AK36" s="2228"/>
      <c r="AL36" s="2228"/>
      <c r="AM36" s="2228"/>
      <c r="AN36" s="2228"/>
      <c r="AO36" s="2228"/>
      <c r="AP36" s="2228"/>
      <c r="AQ36" s="2228"/>
      <c r="AR36" s="2228"/>
      <c r="AS36" s="2228"/>
      <c r="AT36" s="2228"/>
      <c r="AU36" s="2228"/>
      <c r="AV36" s="2228"/>
      <c r="AW36" s="2228"/>
      <c r="AX36" s="2228"/>
      <c r="AY36" s="2228"/>
      <c r="AZ36" s="2228"/>
      <c r="BA36" s="253"/>
      <c r="BB36" s="253"/>
      <c r="BC36" s="199"/>
      <c r="BD36" s="295"/>
      <c r="BE36" s="295"/>
      <c r="BF36" s="295"/>
      <c r="BG36" s="295"/>
      <c r="BH36" s="295"/>
    </row>
    <row r="37" spans="1:60" s="1950" customFormat="1" ht="18.75" hidden="1" customHeight="1">
      <c r="A37" s="1249"/>
      <c r="B37" s="1249"/>
      <c r="C37" s="1249"/>
      <c r="D37" s="1249"/>
      <c r="E37" s="1249"/>
      <c r="F37" s="1249"/>
      <c r="G37" s="1249"/>
      <c r="H37" s="1249"/>
      <c r="I37" s="1249"/>
      <c r="J37" s="1249"/>
      <c r="K37" s="1249"/>
      <c r="L37" s="1250"/>
      <c r="M37" s="1249"/>
      <c r="N37" s="1249"/>
      <c r="O37" s="1249"/>
      <c r="P37" s="1249"/>
      <c r="Q37" s="1249"/>
      <c r="S37" s="2227" t="s">
        <v>1485</v>
      </c>
      <c r="T37" s="2227"/>
      <c r="U37" s="1253"/>
      <c r="V37" s="2228"/>
      <c r="W37" s="2228"/>
      <c r="X37" s="2228"/>
      <c r="Y37" s="2228"/>
      <c r="Z37" s="2228"/>
      <c r="AA37" s="2228"/>
      <c r="AB37" s="2228"/>
      <c r="AC37" s="253"/>
      <c r="AD37" s="2228" t="str">
        <f>IF(TITLE_NUMBER_PR_CHANGE="",IF(TITLE_NUMBER_PR="","",TITLE_NUMBER_PR),TITLE_NUMBER_PR_CHANGE)</f>
        <v/>
      </c>
      <c r="AE37" s="2228"/>
      <c r="AF37" s="2228"/>
      <c r="AG37" s="2228"/>
      <c r="AH37" s="2228"/>
      <c r="AI37" s="2228"/>
      <c r="AJ37" s="2228"/>
      <c r="AK37" s="2228"/>
      <c r="AL37" s="2228"/>
      <c r="AM37" s="2228"/>
      <c r="AN37" s="2228"/>
      <c r="AO37" s="2228"/>
      <c r="AP37" s="2228"/>
      <c r="AQ37" s="2228"/>
      <c r="AR37" s="2228"/>
      <c r="AS37" s="2228"/>
      <c r="AT37" s="2228"/>
      <c r="AU37" s="2228"/>
      <c r="AV37" s="2228"/>
      <c r="AW37" s="2228"/>
      <c r="AX37" s="2228"/>
      <c r="AY37" s="2228"/>
      <c r="AZ37" s="2228"/>
      <c r="BA37" s="253"/>
      <c r="BB37" s="253"/>
      <c r="BC37" s="199"/>
      <c r="BD37" s="295"/>
      <c r="BE37" s="295"/>
      <c r="BF37" s="295"/>
      <c r="BG37" s="295"/>
      <c r="BH37" s="295"/>
    </row>
    <row r="38" spans="1:60" s="1950" customFormat="1" ht="0" hidden="1" customHeight="1">
      <c r="A38" s="1249"/>
      <c r="B38" s="1249"/>
      <c r="C38" s="1249"/>
      <c r="D38" s="1249"/>
      <c r="E38" s="1249"/>
      <c r="F38" s="1249"/>
      <c r="G38" s="1249"/>
      <c r="H38" s="1249"/>
      <c r="I38" s="1249"/>
      <c r="J38" s="1249"/>
      <c r="K38" s="1249"/>
      <c r="L38" s="1250"/>
      <c r="M38" s="1249"/>
      <c r="N38" s="1249"/>
      <c r="O38" s="1249"/>
      <c r="P38" s="1249"/>
      <c r="Q38" s="1249"/>
      <c r="S38" s="250"/>
      <c r="T38" s="250"/>
      <c r="U38" s="1350"/>
      <c r="V38" s="253"/>
      <c r="W38" s="253"/>
      <c r="X38" s="253"/>
      <c r="Y38" s="253"/>
      <c r="Z38" s="253"/>
      <c r="AA38" s="253"/>
      <c r="AB38" s="253"/>
      <c r="AC38" s="197" t="s">
        <v>1488</v>
      </c>
      <c r="AD38" s="253"/>
      <c r="AE38" s="253"/>
      <c r="AF38" s="253"/>
      <c r="AG38" s="253"/>
      <c r="AH38" s="253"/>
      <c r="AI38" s="253"/>
      <c r="AJ38" s="253"/>
      <c r="AK38" s="253"/>
      <c r="AL38" s="253"/>
      <c r="AM38" s="253"/>
      <c r="AN38" s="253"/>
      <c r="AO38" s="253"/>
      <c r="AP38" s="253"/>
      <c r="AQ38" s="253"/>
      <c r="AR38" s="253"/>
      <c r="AS38" s="253"/>
      <c r="AT38" s="253"/>
      <c r="AU38" s="253"/>
      <c r="AV38" s="253"/>
      <c r="AW38" s="253"/>
      <c r="AX38" s="253"/>
      <c r="AY38" s="253"/>
      <c r="AZ38" s="253"/>
      <c r="BA38" s="197" t="s">
        <v>1488</v>
      </c>
      <c r="BD38" s="295"/>
      <c r="BE38" s="295"/>
      <c r="BF38" s="295"/>
      <c r="BG38" s="295"/>
      <c r="BH38" s="295"/>
    </row>
    <row r="39" spans="1:60" ht="14.25" customHeight="1">
      <c r="Q39" s="209"/>
      <c r="R39" s="304"/>
      <c r="S39" s="1158"/>
      <c r="T39" s="289"/>
      <c r="U39" s="1117"/>
      <c r="V39" s="2246"/>
      <c r="W39" s="2246"/>
      <c r="X39" s="2246"/>
      <c r="Y39" s="2246"/>
      <c r="Z39" s="2246"/>
      <c r="AA39" s="2246"/>
      <c r="AB39" s="2246"/>
      <c r="AC39" s="2246"/>
      <c r="AD39" s="2246"/>
      <c r="AE39" s="2246"/>
      <c r="AF39" s="2246"/>
      <c r="AG39" s="2246"/>
      <c r="AH39" s="2246"/>
      <c r="AI39" s="2246"/>
      <c r="AJ39" s="2246"/>
      <c r="AK39" s="2246"/>
      <c r="AL39" s="2246"/>
      <c r="AM39" s="2246"/>
      <c r="AN39" s="2246"/>
      <c r="AO39" s="2246"/>
      <c r="AP39" s="2246"/>
      <c r="AQ39" s="2246"/>
      <c r="AR39" s="2246"/>
      <c r="AS39" s="2246"/>
      <c r="AT39" s="2246"/>
      <c r="AU39" s="2246"/>
      <c r="AV39" s="2246"/>
      <c r="AW39" s="2246"/>
      <c r="AX39" s="2246"/>
      <c r="AY39" s="2246"/>
      <c r="AZ39" s="2246"/>
      <c r="BA39" s="2246"/>
    </row>
    <row r="40" spans="1:60" ht="14.25" customHeight="1">
      <c r="Q40" s="209"/>
      <c r="R40" s="304"/>
      <c r="S40" s="2021" t="s">
        <v>292</v>
      </c>
      <c r="T40" s="2021"/>
      <c r="U40" s="2021"/>
      <c r="V40" s="2021"/>
      <c r="W40" s="2021"/>
      <c r="X40" s="2021"/>
      <c r="Y40" s="2021"/>
      <c r="Z40" s="2021"/>
      <c r="AA40" s="2021"/>
      <c r="AB40" s="2021"/>
      <c r="AC40" s="2021"/>
      <c r="AD40" s="2021"/>
      <c r="AE40" s="2021"/>
      <c r="AF40" s="2021"/>
      <c r="AG40" s="2021"/>
      <c r="AH40" s="2021"/>
      <c r="AI40" s="2021"/>
      <c r="AJ40" s="2021"/>
      <c r="AK40" s="2021"/>
      <c r="AL40" s="2021"/>
      <c r="AM40" s="2021"/>
      <c r="AN40" s="2021"/>
      <c r="AO40" s="2021"/>
      <c r="AP40" s="2021"/>
      <c r="AQ40" s="2021"/>
      <c r="AR40" s="2021"/>
      <c r="AS40" s="2021"/>
      <c r="AT40" s="2021"/>
      <c r="AU40" s="2021"/>
      <c r="AV40" s="2021"/>
      <c r="AW40" s="2021"/>
      <c r="AX40" s="2021"/>
      <c r="AY40" s="2021"/>
      <c r="AZ40" s="2021"/>
      <c r="BA40" s="2021"/>
      <c r="BB40" s="2021"/>
      <c r="BC40" s="2021" t="s">
        <v>293</v>
      </c>
    </row>
    <row r="41" spans="1:60" ht="14.25" customHeight="1">
      <c r="Q41" s="209"/>
      <c r="R41" s="304"/>
      <c r="S41" s="2247" t="s">
        <v>88</v>
      </c>
      <c r="T41" s="2111" t="s">
        <v>1702</v>
      </c>
      <c r="U41" s="219"/>
      <c r="V41" s="2248" t="s">
        <v>1490</v>
      </c>
      <c r="W41" s="2249"/>
      <c r="X41" s="2249"/>
      <c r="Y41" s="2249"/>
      <c r="Z41" s="2249"/>
      <c r="AA41" s="2249"/>
      <c r="AB41" s="2250"/>
      <c r="AC41" s="2251" t="s">
        <v>1491</v>
      </c>
      <c r="AD41" s="2273" t="s">
        <v>1703</v>
      </c>
      <c r="AE41" s="2262"/>
      <c r="AF41" s="2262"/>
      <c r="AG41" s="2274"/>
      <c r="AH41" s="2273" t="s">
        <v>1704</v>
      </c>
      <c r="AI41" s="2262"/>
      <c r="AJ41" s="2262"/>
      <c r="AK41" s="2274"/>
      <c r="AL41" s="2273" t="s">
        <v>1705</v>
      </c>
      <c r="AM41" s="2262"/>
      <c r="AN41" s="2262"/>
      <c r="AO41" s="2274"/>
      <c r="AP41" s="2273" t="s">
        <v>1706</v>
      </c>
      <c r="AQ41" s="2262"/>
      <c r="AR41" s="2262"/>
      <c r="AS41" s="2274"/>
      <c r="AT41" s="2248" t="s">
        <v>1490</v>
      </c>
      <c r="AU41" s="2249"/>
      <c r="AV41" s="2249"/>
      <c r="AW41" s="2249"/>
      <c r="AX41" s="2249"/>
      <c r="AY41" s="2249"/>
      <c r="AZ41" s="2250"/>
      <c r="BA41" s="2251" t="s">
        <v>1491</v>
      </c>
      <c r="BB41" s="2254" t="s">
        <v>1493</v>
      </c>
      <c r="BC41" s="2021"/>
    </row>
    <row r="42" spans="1:60" ht="33.75" customHeight="1">
      <c r="Q42" s="209"/>
      <c r="R42" s="304"/>
      <c r="S42" s="2247"/>
      <c r="T42" s="2111"/>
      <c r="U42" s="924"/>
      <c r="V42" s="2081" t="s">
        <v>1707</v>
      </c>
      <c r="W42" s="2082"/>
      <c r="X42" s="2081" t="s">
        <v>1708</v>
      </c>
      <c r="Y42" s="2082"/>
      <c r="Z42" s="2081" t="s">
        <v>1709</v>
      </c>
      <c r="AA42" s="2267"/>
      <c r="AB42" s="2082"/>
      <c r="AC42" s="2252"/>
      <c r="AD42" s="2275"/>
      <c r="AE42" s="2276"/>
      <c r="AF42" s="2276"/>
      <c r="AG42" s="2277"/>
      <c r="AH42" s="2275"/>
      <c r="AI42" s="2276"/>
      <c r="AJ42" s="2276"/>
      <c r="AK42" s="2277"/>
      <c r="AL42" s="2275"/>
      <c r="AM42" s="2276"/>
      <c r="AN42" s="2276"/>
      <c r="AO42" s="2277"/>
      <c r="AP42" s="2275"/>
      <c r="AQ42" s="2276"/>
      <c r="AR42" s="2276"/>
      <c r="AS42" s="2277"/>
      <c r="AT42" s="2081" t="s">
        <v>1707</v>
      </c>
      <c r="AU42" s="2082"/>
      <c r="AV42" s="2081" t="s">
        <v>1708</v>
      </c>
      <c r="AW42" s="2082"/>
      <c r="AX42" s="2081" t="s">
        <v>1709</v>
      </c>
      <c r="AY42" s="2267"/>
      <c r="AZ42" s="2082"/>
      <c r="BA42" s="2252"/>
      <c r="BB42" s="2255"/>
      <c r="BC42" s="2021"/>
    </row>
    <row r="43" spans="1:60" ht="14.25" customHeight="1">
      <c r="Q43" s="209"/>
      <c r="R43" s="304"/>
      <c r="S43" s="2247"/>
      <c r="T43" s="2111"/>
      <c r="U43" s="924"/>
      <c r="V43" s="2086"/>
      <c r="W43" s="2087"/>
      <c r="X43" s="2086"/>
      <c r="Y43" s="2087"/>
      <c r="Z43" s="2086"/>
      <c r="AA43" s="2268"/>
      <c r="AB43" s="2087"/>
      <c r="AC43" s="2252"/>
      <c r="AD43" s="2275"/>
      <c r="AE43" s="2276"/>
      <c r="AF43" s="2276"/>
      <c r="AG43" s="2277"/>
      <c r="AH43" s="2275"/>
      <c r="AI43" s="2276"/>
      <c r="AJ43" s="2276"/>
      <c r="AK43" s="2277"/>
      <c r="AL43" s="2275"/>
      <c r="AM43" s="2276"/>
      <c r="AN43" s="2276"/>
      <c r="AO43" s="2277"/>
      <c r="AP43" s="2275"/>
      <c r="AQ43" s="2276"/>
      <c r="AR43" s="2276"/>
      <c r="AS43" s="2277"/>
      <c r="AT43" s="2086"/>
      <c r="AU43" s="2087"/>
      <c r="AV43" s="2086"/>
      <c r="AW43" s="2087"/>
      <c r="AX43" s="2086"/>
      <c r="AY43" s="2268"/>
      <c r="AZ43" s="2087"/>
      <c r="BA43" s="2252"/>
      <c r="BB43" s="2255"/>
      <c r="BC43" s="2021"/>
    </row>
    <row r="44" spans="1:60" ht="14.25" customHeight="1">
      <c r="A44" s="1251"/>
      <c r="B44" s="1251" t="s">
        <v>136</v>
      </c>
      <c r="C44" s="1251" t="s">
        <v>137</v>
      </c>
      <c r="D44" s="1251" t="s">
        <v>138</v>
      </c>
      <c r="E44" s="1245" t="s">
        <v>1498</v>
      </c>
      <c r="F44" s="1245" t="s">
        <v>1499</v>
      </c>
      <c r="G44" s="1245" t="s">
        <v>1500</v>
      </c>
      <c r="H44" s="1245" t="s">
        <v>1501</v>
      </c>
      <c r="I44" s="1245" t="s">
        <v>1502</v>
      </c>
      <c r="J44" s="1245" t="s">
        <v>1503</v>
      </c>
      <c r="K44" s="1245" t="s">
        <v>1504</v>
      </c>
      <c r="L44" s="1245" t="s">
        <v>1479</v>
      </c>
      <c r="Q44" s="209"/>
      <c r="R44" s="304"/>
      <c r="S44" s="2247"/>
      <c r="T44" s="2111"/>
      <c r="U44" s="220"/>
      <c r="V44" s="1341" t="s">
        <v>1550</v>
      </c>
      <c r="W44" s="1341" t="s">
        <v>1551</v>
      </c>
      <c r="X44" s="1341" t="s">
        <v>1550</v>
      </c>
      <c r="Y44" s="1341" t="s">
        <v>1551</v>
      </c>
      <c r="Z44" s="1351" t="s">
        <v>1507</v>
      </c>
      <c r="AA44" s="2117" t="s">
        <v>1508</v>
      </c>
      <c r="AB44" s="2131"/>
      <c r="AC44" s="2253"/>
      <c r="AD44" s="2278"/>
      <c r="AE44" s="2279"/>
      <c r="AF44" s="2279"/>
      <c r="AG44" s="2280"/>
      <c r="AH44" s="2278"/>
      <c r="AI44" s="2279"/>
      <c r="AJ44" s="2279"/>
      <c r="AK44" s="2280"/>
      <c r="AL44" s="2278"/>
      <c r="AM44" s="2279"/>
      <c r="AN44" s="2279"/>
      <c r="AO44" s="2280"/>
      <c r="AP44" s="2278"/>
      <c r="AQ44" s="2279"/>
      <c r="AR44" s="2279"/>
      <c r="AS44" s="2280"/>
      <c r="AT44" s="1341" t="s">
        <v>1550</v>
      </c>
      <c r="AU44" s="1341" t="s">
        <v>1551</v>
      </c>
      <c r="AV44" s="1341" t="s">
        <v>1550</v>
      </c>
      <c r="AW44" s="1341" t="s">
        <v>1551</v>
      </c>
      <c r="AX44" s="1351" t="s">
        <v>1507</v>
      </c>
      <c r="AY44" s="2117" t="s">
        <v>1508</v>
      </c>
      <c r="AZ44" s="2131"/>
      <c r="BA44" s="2253"/>
      <c r="BB44" s="2256"/>
      <c r="BC44" s="2021"/>
    </row>
    <row r="45" spans="1:60" s="1720" customFormat="1" ht="11.25" hidden="1" customHeight="1">
      <c r="A45" s="1251"/>
      <c r="B45" s="1251"/>
      <c r="C45" s="1251"/>
      <c r="D45" s="1251"/>
      <c r="E45" s="1251"/>
      <c r="F45" s="1251"/>
      <c r="G45" s="1251"/>
      <c r="H45" s="1251"/>
      <c r="I45" s="1251"/>
      <c r="J45" s="1251"/>
      <c r="K45" s="1251"/>
      <c r="L45" s="1245"/>
      <c r="M45" s="1243"/>
      <c r="N45" s="1243"/>
      <c r="O45" s="1243"/>
      <c r="P45" s="438"/>
      <c r="Q45" s="1135"/>
      <c r="R45" s="1135">
        <v>1</v>
      </c>
      <c r="S45" s="1160" t="s">
        <v>109</v>
      </c>
      <c r="T45" s="1136" t="s">
        <v>110</v>
      </c>
      <c r="U45" s="1118" t="str">
        <f ca="1">OFFSET(U45,0,-1)</f>
        <v>2</v>
      </c>
      <c r="V45" s="1344">
        <f t="shared" ref="V45:AA45" ca="1" si="2">OFFSET(V45,0,-1)+1</f>
        <v>3</v>
      </c>
      <c r="W45" s="1344">
        <f t="shared" ca="1" si="2"/>
        <v>4</v>
      </c>
      <c r="X45" s="1344">
        <f t="shared" ca="1" si="2"/>
        <v>5</v>
      </c>
      <c r="Y45" s="1344">
        <f t="shared" ca="1" si="2"/>
        <v>6</v>
      </c>
      <c r="Z45" s="1344">
        <f t="shared" ca="1" si="2"/>
        <v>7</v>
      </c>
      <c r="AA45" s="2245">
        <f t="shared" ca="1" si="2"/>
        <v>8</v>
      </c>
      <c r="AB45" s="2245"/>
      <c r="AC45" s="1344">
        <f ca="1">OFFSET(AC45,0,-2)+1</f>
        <v>9</v>
      </c>
      <c r="AD45" s="1344">
        <f ca="1">OFFSET(AD45,0,-1)+1</f>
        <v>10</v>
      </c>
      <c r="AE45" s="1344"/>
      <c r="AF45" s="1344"/>
      <c r="AG45" s="1344"/>
      <c r="AH45" s="1344"/>
      <c r="AI45" s="1344"/>
      <c r="AJ45" s="1344"/>
      <c r="AK45" s="1344"/>
      <c r="AL45" s="1344"/>
      <c r="AM45" s="1344"/>
      <c r="AN45" s="1344"/>
      <c r="AO45" s="1344"/>
      <c r="AP45" s="1344"/>
      <c r="AQ45" s="1344"/>
      <c r="AR45" s="1344"/>
      <c r="AS45" s="1344"/>
      <c r="AT45" s="1344"/>
      <c r="AU45" s="1344"/>
      <c r="AV45" s="1344"/>
      <c r="AW45" s="1344">
        <f ca="1">OFFSET(AW45,0,-1)+1</f>
        <v>1</v>
      </c>
      <c r="AX45" s="1344">
        <f ca="1">OFFSET(AX45,0,-1)+1</f>
        <v>2</v>
      </c>
      <c r="AY45" s="2245">
        <f ca="1">OFFSET(AY45,0,-1)+1</f>
        <v>3</v>
      </c>
      <c r="AZ45" s="2245"/>
      <c r="BA45" s="1344">
        <f ca="1">OFFSET(BA45,0,-2)+1</f>
        <v>4</v>
      </c>
      <c r="BB45" s="1118">
        <f ca="1">OFFSET(BB45,0,-1)</f>
        <v>4</v>
      </c>
      <c r="BC45" s="1344">
        <f ca="1">OFFSET(BC45,0,-1)+1</f>
        <v>5</v>
      </c>
      <c r="BD45" s="439"/>
      <c r="BE45" s="439"/>
      <c r="BF45" s="439"/>
      <c r="BG45" s="439"/>
      <c r="BH45" s="439"/>
    </row>
    <row r="46" spans="1:60" ht="21" customHeight="1">
      <c r="A46" s="1244" t="s">
        <v>253</v>
      </c>
      <c r="B46" s="1244"/>
      <c r="C46" s="1244"/>
      <c r="D46" s="1244"/>
      <c r="E46" s="2235">
        <v>1</v>
      </c>
      <c r="F46" s="1244"/>
      <c r="G46" s="1244"/>
      <c r="H46" s="1244"/>
      <c r="I46" s="1244"/>
      <c r="J46" s="1244"/>
      <c r="K46" s="1244"/>
      <c r="L46" s="1245"/>
      <c r="M46" s="1246"/>
      <c r="N46" s="1246"/>
      <c r="O46" s="1246"/>
      <c r="P46" s="1279"/>
      <c r="Q46" s="771"/>
      <c r="R46" s="279"/>
      <c r="S46" s="1355">
        <f>INDEX(PT_DIFFERENTIATION_NUM_NTAR,MATCH(A46,PT_DIFFERENTIATION_NTAR_ID,0))</f>
        <v>0</v>
      </c>
      <c r="T46" s="216" t="s">
        <v>124</v>
      </c>
      <c r="U46" s="218"/>
      <c r="V46" s="2230"/>
      <c r="W46" s="2230"/>
      <c r="X46" s="2230"/>
      <c r="Y46" s="2230"/>
      <c r="Z46" s="2230"/>
      <c r="AA46" s="2230"/>
      <c r="AB46" s="2230"/>
      <c r="AC46" s="2231"/>
      <c r="AD46" s="2229" t="str">
        <f>INDEX(PT_DIFFERENTIATION_NTAR,MATCH(A46,PT_DIFFERENTIATION_NTAR_ID,0))</f>
        <v/>
      </c>
      <c r="AE46" s="2230"/>
      <c r="AF46" s="2230"/>
      <c r="AG46" s="2230"/>
      <c r="AH46" s="2230"/>
      <c r="AI46" s="2230"/>
      <c r="AJ46" s="2230"/>
      <c r="AK46" s="2230"/>
      <c r="AL46" s="2230"/>
      <c r="AM46" s="2230"/>
      <c r="AN46" s="2230"/>
      <c r="AO46" s="2230"/>
      <c r="AP46" s="2230"/>
      <c r="AQ46" s="2230"/>
      <c r="AR46" s="2230"/>
      <c r="AS46" s="2230"/>
      <c r="AT46" s="2230"/>
      <c r="AU46" s="2230"/>
      <c r="AV46" s="2230"/>
      <c r="AW46" s="2230"/>
      <c r="AX46" s="2230"/>
      <c r="AY46" s="2230"/>
      <c r="AZ46" s="2230"/>
      <c r="BA46" s="2230"/>
      <c r="BB46" s="2231"/>
      <c r="BC46" s="114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28"/>
      <c r="BF46" s="428" t="str">
        <f t="shared" ref="BF46:BF52" si="3">IF(T46="","",T46)</f>
        <v>Наименование тарифа</v>
      </c>
      <c r="BG46" s="428"/>
      <c r="BH46" s="428"/>
    </row>
    <row r="47" spans="1:60" ht="21" customHeight="1">
      <c r="A47" s="1244" t="s">
        <v>253</v>
      </c>
      <c r="B47" s="1244" t="s">
        <v>254</v>
      </c>
      <c r="C47" s="1244"/>
      <c r="D47" s="1244"/>
      <c r="E47" s="2236"/>
      <c r="F47" s="2235">
        <v>1</v>
      </c>
      <c r="G47" s="1244"/>
      <c r="H47" s="1244"/>
      <c r="I47" s="1244"/>
      <c r="J47" s="1244"/>
      <c r="K47" s="1244"/>
      <c r="L47" s="1245"/>
      <c r="M47" s="1246"/>
      <c r="N47" s="1246"/>
      <c r="O47" s="1246"/>
      <c r="P47" s="1280"/>
      <c r="Q47" s="1281"/>
      <c r="R47" s="277"/>
      <c r="S47" s="1355" t="str">
        <f>INDEX(PT_DIFFERENTIATION_NUM_TER,MATCH(B47,PT_DIFFERENTIATION_TER_ID,0))</f>
        <v>.</v>
      </c>
      <c r="T47" s="228" t="s">
        <v>1461</v>
      </c>
      <c r="U47" s="218"/>
      <c r="V47" s="2230"/>
      <c r="W47" s="2230"/>
      <c r="X47" s="2230"/>
      <c r="Y47" s="2230"/>
      <c r="Z47" s="2230"/>
      <c r="AA47" s="2230"/>
      <c r="AB47" s="2230"/>
      <c r="AC47" s="2231"/>
      <c r="AD47" s="2229" t="str">
        <f>INDEX(PT_DIFFERENTIATION_TER,MATCH(B47,PT_DIFFERENTIATION_TER_ID,0))</f>
        <v/>
      </c>
      <c r="AE47" s="2230"/>
      <c r="AF47" s="2230"/>
      <c r="AG47" s="2230"/>
      <c r="AH47" s="2230"/>
      <c r="AI47" s="2230"/>
      <c r="AJ47" s="2230"/>
      <c r="AK47" s="2230"/>
      <c r="AL47" s="2230"/>
      <c r="AM47" s="2230"/>
      <c r="AN47" s="2230"/>
      <c r="AO47" s="2230"/>
      <c r="AP47" s="2230"/>
      <c r="AQ47" s="2230"/>
      <c r="AR47" s="2230"/>
      <c r="AS47" s="2230"/>
      <c r="AT47" s="2230"/>
      <c r="AU47" s="2230"/>
      <c r="AV47" s="2230"/>
      <c r="AW47" s="2230"/>
      <c r="AX47" s="2230"/>
      <c r="AY47" s="2230"/>
      <c r="AZ47" s="2230"/>
      <c r="BA47" s="2230"/>
      <c r="BB47" s="2231"/>
      <c r="BC47" s="1140" t="s">
        <v>1462</v>
      </c>
      <c r="BE47" s="428"/>
      <c r="BF47" s="428" t="str">
        <f t="shared" si="3"/>
        <v>Территория действия тарифа</v>
      </c>
      <c r="BG47" s="428"/>
      <c r="BH47" s="428"/>
    </row>
    <row r="48" spans="1:60" ht="33.75" customHeight="1">
      <c r="A48" s="1244" t="s">
        <v>253</v>
      </c>
      <c r="B48" s="1244" t="s">
        <v>254</v>
      </c>
      <c r="C48" s="1244" t="s">
        <v>255</v>
      </c>
      <c r="D48" s="1244"/>
      <c r="E48" s="2236"/>
      <c r="F48" s="2236"/>
      <c r="G48" s="2235">
        <v>1</v>
      </c>
      <c r="H48" s="1244"/>
      <c r="I48" s="1244"/>
      <c r="J48" s="1244"/>
      <c r="K48" s="1244"/>
      <c r="L48" s="1245"/>
      <c r="M48" s="1246"/>
      <c r="N48" s="1246"/>
      <c r="O48" s="1246"/>
      <c r="P48" s="1282"/>
      <c r="Q48" s="1281"/>
      <c r="R48" s="277"/>
      <c r="S48" s="1355" t="str">
        <f>INDEX(PT_DIFFERENTIATION_NUM_CS,MATCH(C48,PT_DIFFERENTIATION_CS_ID,0))</f>
        <v>..</v>
      </c>
      <c r="T48" s="229" t="s">
        <v>2098</v>
      </c>
      <c r="U48" s="218"/>
      <c r="V48" s="2230"/>
      <c r="W48" s="2230"/>
      <c r="X48" s="2230"/>
      <c r="Y48" s="2230"/>
      <c r="Z48" s="2230"/>
      <c r="AA48" s="2230"/>
      <c r="AB48" s="2230"/>
      <c r="AC48" s="2231"/>
      <c r="AD48" s="2229" t="str">
        <f>INDEX(PT_DIFFERENTIATION_CS,MATCH(C48,PT_DIFFERENTIATION_CS_ID,0))</f>
        <v/>
      </c>
      <c r="AE48" s="2230"/>
      <c r="AF48" s="2230"/>
      <c r="AG48" s="2230"/>
      <c r="AH48" s="2230"/>
      <c r="AI48" s="2230"/>
      <c r="AJ48" s="2230"/>
      <c r="AK48" s="2230"/>
      <c r="AL48" s="2230"/>
      <c r="AM48" s="2230"/>
      <c r="AN48" s="2230"/>
      <c r="AO48" s="2230"/>
      <c r="AP48" s="2230"/>
      <c r="AQ48" s="2230"/>
      <c r="AR48" s="2230"/>
      <c r="AS48" s="2230"/>
      <c r="AT48" s="2230"/>
      <c r="AU48" s="2230"/>
      <c r="AV48" s="2230"/>
      <c r="AW48" s="2230"/>
      <c r="AX48" s="2230"/>
      <c r="AY48" s="2230"/>
      <c r="AZ48" s="2230"/>
      <c r="BA48" s="2230"/>
      <c r="BB48" s="2231"/>
      <c r="BC48" s="1140" t="s">
        <v>2099</v>
      </c>
      <c r="BE48" s="428"/>
      <c r="BF48" s="428" t="str">
        <f t="shared" si="3"/>
        <v>Наименование централизованной системы горячего водоснабжения</v>
      </c>
      <c r="BG48" s="428"/>
      <c r="BH48" s="428"/>
    </row>
    <row r="49" spans="1:60" s="1772" customFormat="1" ht="0" hidden="1" customHeight="1">
      <c r="A49" s="1228" t="s">
        <v>253</v>
      </c>
      <c r="B49" s="1228" t="s">
        <v>254</v>
      </c>
      <c r="C49" s="1228" t="s">
        <v>255</v>
      </c>
      <c r="D49" s="1228" t="s">
        <v>2108</v>
      </c>
      <c r="E49" s="2236"/>
      <c r="F49" s="2236"/>
      <c r="G49" s="2236"/>
      <c r="H49" s="2235">
        <v>1</v>
      </c>
      <c r="I49" s="1228"/>
      <c r="J49" s="1228"/>
      <c r="K49" s="1228"/>
      <c r="L49" s="1231"/>
      <c r="M49" s="1201"/>
      <c r="N49" s="1201"/>
      <c r="O49" s="1201"/>
      <c r="P49" s="1358"/>
      <c r="Q49" s="1359"/>
      <c r="R49" s="281"/>
      <c r="S49" s="932"/>
      <c r="T49" s="1360"/>
      <c r="U49" s="1264"/>
      <c r="V49" s="2264"/>
      <c r="W49" s="2264"/>
      <c r="X49" s="2264"/>
      <c r="Y49" s="2264"/>
      <c r="Z49" s="2264"/>
      <c r="AA49" s="2264"/>
      <c r="AB49" s="2264"/>
      <c r="AC49" s="2265"/>
      <c r="AD49" s="2263"/>
      <c r="AE49" s="2264"/>
      <c r="AF49" s="2264"/>
      <c r="AG49" s="2264"/>
      <c r="AH49" s="2264"/>
      <c r="AI49" s="2264"/>
      <c r="AJ49" s="2264"/>
      <c r="AK49" s="2264"/>
      <c r="AL49" s="2264"/>
      <c r="AM49" s="2264"/>
      <c r="AN49" s="2264"/>
      <c r="AO49" s="2264"/>
      <c r="AP49" s="2264"/>
      <c r="AQ49" s="2264"/>
      <c r="AR49" s="2264"/>
      <c r="AS49" s="2264"/>
      <c r="AT49" s="2264"/>
      <c r="AU49" s="2264"/>
      <c r="AV49" s="2264"/>
      <c r="AW49" s="2264"/>
      <c r="AX49" s="2264"/>
      <c r="AY49" s="2264"/>
      <c r="AZ49" s="2264"/>
      <c r="BA49" s="2264"/>
      <c r="BB49" s="2265"/>
      <c r="BC49" s="1265" t="s">
        <v>1466</v>
      </c>
      <c r="BE49" s="428"/>
      <c r="BF49" s="428" t="str">
        <f t="shared" si="3"/>
        <v/>
      </c>
      <c r="BG49" s="428"/>
      <c r="BH49" s="428"/>
    </row>
    <row r="50" spans="1:60" s="1772" customFormat="1" ht="0" hidden="1" customHeight="1">
      <c r="A50" s="1228" t="s">
        <v>253</v>
      </c>
      <c r="B50" s="1228" t="s">
        <v>254</v>
      </c>
      <c r="C50" s="1228" t="s">
        <v>255</v>
      </c>
      <c r="D50" s="1228" t="s">
        <v>2108</v>
      </c>
      <c r="E50" s="2236"/>
      <c r="F50" s="2236"/>
      <c r="G50" s="2236"/>
      <c r="H50" s="2236"/>
      <c r="I50" s="2237" t="str">
        <f>S49&amp;".1"</f>
        <v>.1</v>
      </c>
      <c r="J50" s="1228"/>
      <c r="K50" s="1228"/>
      <c r="L50" s="1231" t="s">
        <v>1467</v>
      </c>
      <c r="M50" s="438"/>
      <c r="N50" s="438"/>
      <c r="O50" s="438"/>
      <c r="P50" s="2157">
        <v>1</v>
      </c>
      <c r="Q50" s="1343"/>
      <c r="R50" s="280"/>
      <c r="S50" s="932"/>
      <c r="T50" s="1263"/>
      <c r="U50" s="1264"/>
      <c r="V50" s="2264"/>
      <c r="W50" s="2264"/>
      <c r="X50" s="2264"/>
      <c r="Y50" s="2264"/>
      <c r="Z50" s="2264"/>
      <c r="AA50" s="2264"/>
      <c r="AB50" s="2264"/>
      <c r="AC50" s="2265"/>
      <c r="AD50" s="2263"/>
      <c r="AE50" s="2264"/>
      <c r="AF50" s="2264"/>
      <c r="AG50" s="2264"/>
      <c r="AH50" s="2264"/>
      <c r="AI50" s="2264"/>
      <c r="AJ50" s="2264"/>
      <c r="AK50" s="2264"/>
      <c r="AL50" s="2264"/>
      <c r="AM50" s="2264"/>
      <c r="AN50" s="2264"/>
      <c r="AO50" s="2264"/>
      <c r="AP50" s="2264"/>
      <c r="AQ50" s="2264"/>
      <c r="AR50" s="2264"/>
      <c r="AS50" s="2264"/>
      <c r="AT50" s="2264"/>
      <c r="AU50" s="2264"/>
      <c r="AV50" s="2264"/>
      <c r="AW50" s="2264"/>
      <c r="AX50" s="2264"/>
      <c r="AY50" s="2264"/>
      <c r="AZ50" s="2264"/>
      <c r="BA50" s="2264"/>
      <c r="BB50" s="2265"/>
      <c r="BC50" s="1265"/>
      <c r="BE50" s="428"/>
      <c r="BF50" s="428" t="str">
        <f t="shared" si="3"/>
        <v/>
      </c>
      <c r="BG50" s="428"/>
      <c r="BH50" s="428"/>
    </row>
    <row r="51" spans="1:60" s="1772" customFormat="1" ht="0" hidden="1" customHeight="1">
      <c r="A51" s="1228" t="s">
        <v>253</v>
      </c>
      <c r="B51" s="1228" t="s">
        <v>254</v>
      </c>
      <c r="C51" s="1228" t="s">
        <v>255</v>
      </c>
      <c r="D51" s="1228" t="s">
        <v>2108</v>
      </c>
      <c r="E51" s="2236"/>
      <c r="F51" s="2236"/>
      <c r="G51" s="2236"/>
      <c r="H51" s="2236"/>
      <c r="I51" s="2238"/>
      <c r="J51" s="2237" t="str">
        <f>S49&amp;".1"</f>
        <v>.1</v>
      </c>
      <c r="K51" s="1228"/>
      <c r="L51" s="1231"/>
      <c r="M51" s="438"/>
      <c r="N51" s="438"/>
      <c r="O51" s="438"/>
      <c r="P51" s="2157"/>
      <c r="Q51" s="2157">
        <v>1</v>
      </c>
      <c r="R51" s="281"/>
      <c r="S51" s="932"/>
      <c r="T51" s="1273"/>
      <c r="U51" s="1264"/>
      <c r="V51" s="2264"/>
      <c r="W51" s="2264"/>
      <c r="X51" s="2264"/>
      <c r="Y51" s="2264"/>
      <c r="Z51" s="2264"/>
      <c r="AA51" s="2264"/>
      <c r="AB51" s="2264"/>
      <c r="AC51" s="2265"/>
      <c r="AD51" s="2263"/>
      <c r="AE51" s="2264"/>
      <c r="AF51" s="2264"/>
      <c r="AG51" s="2264"/>
      <c r="AH51" s="2264"/>
      <c r="AI51" s="2264"/>
      <c r="AJ51" s="2264"/>
      <c r="AK51" s="2264"/>
      <c r="AL51" s="2264"/>
      <c r="AM51" s="2264"/>
      <c r="AN51" s="2342"/>
      <c r="AO51" s="2342"/>
      <c r="AP51" s="2264"/>
      <c r="AQ51" s="2264"/>
      <c r="AR51" s="2264"/>
      <c r="AS51" s="2264"/>
      <c r="AT51" s="2264"/>
      <c r="AU51" s="2264"/>
      <c r="AV51" s="2264"/>
      <c r="AW51" s="2264"/>
      <c r="AX51" s="2264"/>
      <c r="AY51" s="2264"/>
      <c r="AZ51" s="2264"/>
      <c r="BA51" s="2264"/>
      <c r="BB51" s="2265"/>
      <c r="BC51" s="1265"/>
      <c r="BE51" s="428"/>
      <c r="BF51" s="428" t="str">
        <f t="shared" si="3"/>
        <v/>
      </c>
      <c r="BG51" s="428"/>
      <c r="BH51" s="428"/>
    </row>
    <row r="52" spans="1:60" ht="11.25" customHeight="1">
      <c r="A52" s="1244" t="s">
        <v>253</v>
      </c>
      <c r="B52" s="1244" t="s">
        <v>254</v>
      </c>
      <c r="C52" s="1244" t="s">
        <v>255</v>
      </c>
      <c r="D52" s="1244" t="s">
        <v>2108</v>
      </c>
      <c r="E52" s="2236"/>
      <c r="F52" s="2236"/>
      <c r="G52" s="2236"/>
      <c r="H52" s="2236"/>
      <c r="I52" s="2238"/>
      <c r="J52" s="2238"/>
      <c r="K52" s="2237" t="str">
        <f>S48&amp;".1"</f>
        <v>...1</v>
      </c>
      <c r="L52" s="1245"/>
      <c r="P52" s="2157"/>
      <c r="Q52" s="2157"/>
      <c r="R52" s="281">
        <v>1</v>
      </c>
      <c r="S52" s="2286" t="str">
        <f>$K52</f>
        <v>...1</v>
      </c>
      <c r="T52" s="2336"/>
      <c r="U52" s="218"/>
      <c r="V52" s="1667"/>
      <c r="W52" s="1669"/>
      <c r="X52" s="1667"/>
      <c r="Y52" s="1669"/>
      <c r="Z52" s="1593"/>
      <c r="AA52" s="1332" t="s">
        <v>66</v>
      </c>
      <c r="AB52" s="1593"/>
      <c r="AC52" s="1332" t="s">
        <v>66</v>
      </c>
      <c r="AD52" s="2093" t="s">
        <v>66</v>
      </c>
      <c r="AE52" s="2282"/>
      <c r="AF52" s="2281">
        <v>1</v>
      </c>
      <c r="AG52" s="2335"/>
      <c r="AH52" s="2031" t="s">
        <v>66</v>
      </c>
      <c r="AI52" s="2282"/>
      <c r="AJ52" s="2281">
        <v>1</v>
      </c>
      <c r="AK52" s="2334" t="s">
        <v>17</v>
      </c>
      <c r="AL52" s="2031" t="s">
        <v>66</v>
      </c>
      <c r="AM52" s="2081"/>
      <c r="AN52" s="2281">
        <v>1</v>
      </c>
      <c r="AO52" s="2339"/>
      <c r="AP52" s="2340" t="s">
        <v>66</v>
      </c>
      <c r="AQ52" s="231"/>
      <c r="AR52" s="1348">
        <v>1</v>
      </c>
      <c r="AS52" s="1354" t="s">
        <v>17</v>
      </c>
      <c r="AT52" s="1667"/>
      <c r="AU52" s="1669"/>
      <c r="AV52" s="1667"/>
      <c r="AW52" s="1669"/>
      <c r="AX52" s="1593"/>
      <c r="AY52" s="1332" t="s">
        <v>66</v>
      </c>
      <c r="AZ52" s="1593"/>
      <c r="BA52" s="1332" t="s">
        <v>66</v>
      </c>
      <c r="BB52" s="1675"/>
      <c r="BC52" s="2257" t="s">
        <v>1696</v>
      </c>
      <c r="BE52" s="428"/>
      <c r="BF52" s="428" t="str">
        <f t="shared" si="3"/>
        <v/>
      </c>
      <c r="BG52" s="428"/>
      <c r="BH52" s="428"/>
    </row>
    <row r="53" spans="1:60" ht="11.25" customHeight="1">
      <c r="A53" s="1244"/>
      <c r="B53" s="1244"/>
      <c r="C53" s="1244"/>
      <c r="D53" s="1244"/>
      <c r="E53" s="2236"/>
      <c r="F53" s="2236"/>
      <c r="G53" s="2236"/>
      <c r="H53" s="2236"/>
      <c r="I53" s="2238"/>
      <c r="J53" s="2238"/>
      <c r="K53" s="2237"/>
      <c r="L53" s="1245"/>
      <c r="P53" s="2157"/>
      <c r="Q53" s="2157"/>
      <c r="R53" s="281"/>
      <c r="S53" s="2287"/>
      <c r="T53" s="2337"/>
      <c r="U53" s="218"/>
      <c r="V53" s="1683"/>
      <c r="W53" s="1689"/>
      <c r="X53" s="1683"/>
      <c r="Y53" s="1689"/>
      <c r="Z53" s="1683"/>
      <c r="AA53" s="1683"/>
      <c r="AB53" s="1683"/>
      <c r="AC53" s="1683"/>
      <c r="AD53" s="2094"/>
      <c r="AE53" s="2282"/>
      <c r="AF53" s="2281"/>
      <c r="AG53" s="2335"/>
      <c r="AH53" s="2031"/>
      <c r="AI53" s="2282"/>
      <c r="AJ53" s="2281"/>
      <c r="AK53" s="2334"/>
      <c r="AL53" s="2031"/>
      <c r="AM53" s="2086"/>
      <c r="AN53" s="2281"/>
      <c r="AO53" s="2339"/>
      <c r="AP53" s="2341"/>
      <c r="AQ53" s="238"/>
      <c r="AR53" s="351"/>
      <c r="AS53" s="351" t="s">
        <v>1697</v>
      </c>
      <c r="AT53" s="1683"/>
      <c r="AU53" s="1689"/>
      <c r="AV53" s="1683"/>
      <c r="AW53" s="1689"/>
      <c r="AX53" s="1683"/>
      <c r="AY53" s="1683"/>
      <c r="AZ53" s="1683"/>
      <c r="BA53" s="1683"/>
      <c r="BB53" s="1688"/>
      <c r="BC53" s="2258"/>
      <c r="BE53" s="428"/>
      <c r="BF53" s="428"/>
      <c r="BG53" s="428"/>
      <c r="BH53" s="428"/>
    </row>
    <row r="54" spans="1:60" ht="11.25" customHeight="1">
      <c r="A54" s="1244" t="s">
        <v>253</v>
      </c>
      <c r="B54" s="1244"/>
      <c r="C54" s="1244"/>
      <c r="D54" s="1244"/>
      <c r="E54" s="2236"/>
      <c r="F54" s="2236"/>
      <c r="G54" s="2236"/>
      <c r="H54" s="2236"/>
      <c r="I54" s="2238"/>
      <c r="J54" s="2238"/>
      <c r="K54" s="2237"/>
      <c r="L54" s="1245"/>
      <c r="P54" s="2157"/>
      <c r="Q54" s="2157"/>
      <c r="R54" s="281"/>
      <c r="S54" s="2287"/>
      <c r="T54" s="2337"/>
      <c r="U54" s="218"/>
      <c r="V54" s="1683"/>
      <c r="W54" s="1689"/>
      <c r="X54" s="1683"/>
      <c r="Y54" s="1689"/>
      <c r="Z54" s="1683"/>
      <c r="AA54" s="1683"/>
      <c r="AB54" s="1683"/>
      <c r="AC54" s="1683"/>
      <c r="AD54" s="2094"/>
      <c r="AE54" s="2282"/>
      <c r="AF54" s="2281"/>
      <c r="AG54" s="2335"/>
      <c r="AH54" s="2031"/>
      <c r="AI54" s="2282"/>
      <c r="AJ54" s="2281"/>
      <c r="AK54" s="2334"/>
      <c r="AL54" s="2031"/>
      <c r="AM54" s="238"/>
      <c r="AN54" s="1361"/>
      <c r="AO54" s="1361" t="s">
        <v>1698</v>
      </c>
      <c r="AP54" s="351"/>
      <c r="AQ54" s="351"/>
      <c r="AR54" s="351"/>
      <c r="AS54" s="1683"/>
      <c r="AT54" s="1683"/>
      <c r="AU54" s="1689"/>
      <c r="AV54" s="1683"/>
      <c r="AW54" s="1689"/>
      <c r="AX54" s="1683"/>
      <c r="AY54" s="1683"/>
      <c r="AZ54" s="1683"/>
      <c r="BA54" s="1683"/>
      <c r="BB54" s="1688"/>
      <c r="BC54" s="2258"/>
      <c r="BE54" s="428"/>
      <c r="BF54" s="428"/>
      <c r="BG54" s="428"/>
      <c r="BH54" s="428"/>
    </row>
    <row r="55" spans="1:60" ht="11.25" customHeight="1">
      <c r="A55" s="1244" t="s">
        <v>253</v>
      </c>
      <c r="B55" s="1244"/>
      <c r="C55" s="1244"/>
      <c r="D55" s="1244"/>
      <c r="E55" s="2236"/>
      <c r="F55" s="2236"/>
      <c r="G55" s="2236"/>
      <c r="H55" s="2236"/>
      <c r="I55" s="2238"/>
      <c r="J55" s="2238"/>
      <c r="K55" s="2237"/>
      <c r="L55" s="1245"/>
      <c r="P55" s="2157"/>
      <c r="Q55" s="2157"/>
      <c r="R55" s="281"/>
      <c r="S55" s="2287"/>
      <c r="T55" s="2337"/>
      <c r="U55" s="218"/>
      <c r="V55" s="1683"/>
      <c r="W55" s="1689"/>
      <c r="X55" s="1683"/>
      <c r="Y55" s="1689"/>
      <c r="Z55" s="1683"/>
      <c r="AA55" s="1683"/>
      <c r="AB55" s="1683"/>
      <c r="AC55" s="1683"/>
      <c r="AD55" s="2094"/>
      <c r="AE55" s="2282"/>
      <c r="AF55" s="2281"/>
      <c r="AG55" s="2335"/>
      <c r="AH55" s="2031"/>
      <c r="AI55" s="212"/>
      <c r="AJ55" s="350"/>
      <c r="AK55" s="233" t="s">
        <v>1699</v>
      </c>
      <c r="AL55" s="1683"/>
      <c r="AM55" s="1683"/>
      <c r="AN55" s="1683"/>
      <c r="AO55" s="1683"/>
      <c r="AP55" s="1683"/>
      <c r="AQ55" s="1683"/>
      <c r="AR55" s="1683"/>
      <c r="AS55" s="1683"/>
      <c r="AT55" s="1683"/>
      <c r="AU55" s="1689"/>
      <c r="AV55" s="1683"/>
      <c r="AW55" s="1689"/>
      <c r="AX55" s="1683"/>
      <c r="AY55" s="1683"/>
      <c r="AZ55" s="1683"/>
      <c r="BA55" s="1683"/>
      <c r="BB55" s="1688"/>
      <c r="BC55" s="2258"/>
      <c r="BE55" s="428"/>
      <c r="BF55" s="428"/>
      <c r="BG55" s="428"/>
      <c r="BH55" s="428"/>
    </row>
    <row r="56" spans="1:60" ht="11.25" customHeight="1">
      <c r="A56" s="1244" t="s">
        <v>253</v>
      </c>
      <c r="B56" s="1244" t="s">
        <v>254</v>
      </c>
      <c r="C56" s="1244" t="s">
        <v>255</v>
      </c>
      <c r="D56" s="1244" t="s">
        <v>2108</v>
      </c>
      <c r="E56" s="2236"/>
      <c r="F56" s="2236"/>
      <c r="G56" s="2236"/>
      <c r="H56" s="2236"/>
      <c r="I56" s="2238"/>
      <c r="J56" s="2238"/>
      <c r="K56" s="2237"/>
      <c r="L56" s="1245"/>
      <c r="P56" s="2157"/>
      <c r="Q56" s="2157"/>
      <c r="R56" s="281"/>
      <c r="S56" s="2288"/>
      <c r="T56" s="2338"/>
      <c r="U56" s="218"/>
      <c r="V56" s="1683"/>
      <c r="W56" s="1684" t="str">
        <f>Z52&amp;"-"&amp;AB52</f>
        <v>-</v>
      </c>
      <c r="X56" s="1683"/>
      <c r="Y56" s="1684" t="str">
        <f>AB52&amp;"-"&amp;AD52</f>
        <v>-да</v>
      </c>
      <c r="Z56" s="1683"/>
      <c r="AA56" s="1683"/>
      <c r="AB56" s="1683"/>
      <c r="AC56" s="1683"/>
      <c r="AD56" s="2036"/>
      <c r="AE56" s="232"/>
      <c r="AF56" s="234"/>
      <c r="AG56" s="351" t="s">
        <v>1700</v>
      </c>
      <c r="AH56" s="1683"/>
      <c r="AI56" s="1683"/>
      <c r="AJ56" s="1683"/>
      <c r="AK56" s="1683"/>
      <c r="AL56" s="1683"/>
      <c r="AM56" s="1683"/>
      <c r="AN56" s="1683"/>
      <c r="AO56" s="1683"/>
      <c r="AP56" s="1683"/>
      <c r="AQ56" s="1683"/>
      <c r="AR56" s="1683"/>
      <c r="AS56" s="1683"/>
      <c r="AT56" s="1683"/>
      <c r="AU56" s="1684" t="str">
        <f>AX52&amp;"-"&amp;AZ52</f>
        <v>-</v>
      </c>
      <c r="AV56" s="1683"/>
      <c r="AW56" s="1684" t="str">
        <f>AZ52&amp;"-"&amp;BB52</f>
        <v>-</v>
      </c>
      <c r="AX56" s="1683"/>
      <c r="AY56" s="1683"/>
      <c r="AZ56" s="1683"/>
      <c r="BA56" s="1683"/>
      <c r="BB56" s="1691" t="str">
        <f>BE52&amp;"-"&amp;BG52</f>
        <v>-</v>
      </c>
      <c r="BC56" s="2258"/>
      <c r="BE56" s="428"/>
      <c r="BF56" s="428" t="str">
        <f t="shared" ref="BF56:BF63" si="4">IF(T56="","",T56)</f>
        <v/>
      </c>
      <c r="BG56" s="428"/>
      <c r="BH56" s="428"/>
    </row>
    <row r="57" spans="1:60" ht="11.25" customHeight="1">
      <c r="A57" s="1244" t="s">
        <v>253</v>
      </c>
      <c r="B57" s="1244" t="s">
        <v>254</v>
      </c>
      <c r="C57" s="1244" t="s">
        <v>255</v>
      </c>
      <c r="D57" s="1244" t="s">
        <v>2108</v>
      </c>
      <c r="E57" s="2236"/>
      <c r="F57" s="2236"/>
      <c r="G57" s="2236"/>
      <c r="H57" s="2236"/>
      <c r="I57" s="2238"/>
      <c r="J57" s="2237"/>
      <c r="K57" s="1244"/>
      <c r="L57" s="1245"/>
      <c r="P57" s="2157"/>
      <c r="Q57" s="2157"/>
      <c r="R57" s="280"/>
      <c r="S57" s="1161"/>
      <c r="T57" s="205" t="s">
        <v>1541</v>
      </c>
      <c r="U57" s="294"/>
      <c r="V57" s="294"/>
      <c r="W57" s="294"/>
      <c r="X57" s="294"/>
      <c r="Y57" s="294"/>
      <c r="Z57" s="294"/>
      <c r="AA57" s="294"/>
      <c r="AB57" s="294"/>
      <c r="AC57" s="251"/>
      <c r="AD57" s="1366"/>
      <c r="AE57" s="294"/>
      <c r="AF57" s="294"/>
      <c r="AG57" s="294"/>
      <c r="AH57" s="294"/>
      <c r="AI57" s="294"/>
      <c r="AJ57" s="294"/>
      <c r="AK57" s="294"/>
      <c r="AL57" s="294"/>
      <c r="AM57" s="294"/>
      <c r="AN57" s="294"/>
      <c r="AO57" s="294"/>
      <c r="AP57" s="294"/>
      <c r="AQ57" s="294"/>
      <c r="AR57" s="294"/>
      <c r="AS57" s="294"/>
      <c r="AT57" s="294"/>
      <c r="AU57" s="294"/>
      <c r="AV57" s="294"/>
      <c r="AW57" s="294"/>
      <c r="AX57" s="294"/>
      <c r="AY57" s="294"/>
      <c r="AZ57" s="294"/>
      <c r="BA57" s="294"/>
      <c r="BB57" s="251"/>
      <c r="BC57" s="2259"/>
      <c r="BE57" s="428"/>
      <c r="BF57" s="428" t="str">
        <f t="shared" si="4"/>
        <v>Добавить строку</v>
      </c>
      <c r="BG57" s="428"/>
      <c r="BH57" s="428"/>
    </row>
    <row r="58" spans="1:60" s="1772" customFormat="1" ht="0" hidden="1" customHeight="1">
      <c r="A58" s="1228" t="s">
        <v>253</v>
      </c>
      <c r="B58" s="1228" t="s">
        <v>254</v>
      </c>
      <c r="C58" s="1228" t="s">
        <v>255</v>
      </c>
      <c r="D58" s="1228" t="s">
        <v>2108</v>
      </c>
      <c r="E58" s="2236"/>
      <c r="F58" s="2236"/>
      <c r="G58" s="2236"/>
      <c r="H58" s="2236"/>
      <c r="I58" s="2237"/>
      <c r="J58" s="1228"/>
      <c r="K58" s="1228"/>
      <c r="L58" s="1231"/>
      <c r="M58" s="438"/>
      <c r="N58" s="438"/>
      <c r="O58" s="438"/>
      <c r="P58" s="2157"/>
      <c r="Q58" s="1343"/>
      <c r="R58" s="280"/>
      <c r="S58" s="1266"/>
      <c r="T58" s="1267"/>
      <c r="U58" s="1268"/>
      <c r="V58" s="1268"/>
      <c r="W58" s="1268"/>
      <c r="X58" s="1268"/>
      <c r="Y58" s="1268"/>
      <c r="Z58" s="1268"/>
      <c r="AA58" s="1268"/>
      <c r="AB58" s="1268"/>
      <c r="AC58" s="1268"/>
      <c r="AD58" s="1268"/>
      <c r="AE58" s="1268"/>
      <c r="AF58" s="1268"/>
      <c r="AG58" s="1268"/>
      <c r="AH58" s="1268"/>
      <c r="AI58" s="1268"/>
      <c r="AJ58" s="1268"/>
      <c r="AK58" s="1268"/>
      <c r="AL58" s="1268"/>
      <c r="AM58" s="1268"/>
      <c r="AN58" s="1268"/>
      <c r="AO58" s="1268"/>
      <c r="AP58" s="1268"/>
      <c r="AQ58" s="1268"/>
      <c r="AR58" s="1268"/>
      <c r="AS58" s="1268"/>
      <c r="AT58" s="1268"/>
      <c r="AU58" s="1268"/>
      <c r="AV58" s="1268"/>
      <c r="AW58" s="1268"/>
      <c r="AX58" s="1268"/>
      <c r="AY58" s="1268"/>
      <c r="AZ58" s="1268"/>
      <c r="BA58" s="1268"/>
      <c r="BB58" s="1268"/>
      <c r="BC58" s="1269"/>
      <c r="BE58" s="428"/>
      <c r="BF58" s="428" t="str">
        <f t="shared" si="4"/>
        <v/>
      </c>
      <c r="BG58" s="428"/>
      <c r="BH58" s="428"/>
    </row>
    <row r="59" spans="1:60" s="1772" customFormat="1" ht="0" hidden="1" customHeight="1">
      <c r="A59" s="1228" t="s">
        <v>253</v>
      </c>
      <c r="B59" s="1228" t="s">
        <v>254</v>
      </c>
      <c r="C59" s="1228" t="s">
        <v>255</v>
      </c>
      <c r="D59" s="1228" t="s">
        <v>2108</v>
      </c>
      <c r="E59" s="2236"/>
      <c r="F59" s="2236"/>
      <c r="G59" s="2236"/>
      <c r="H59" s="2235"/>
      <c r="I59" s="1228"/>
      <c r="J59" s="1228"/>
      <c r="K59" s="1228"/>
      <c r="L59" s="1231"/>
      <c r="M59" s="1201"/>
      <c r="N59" s="1201"/>
      <c r="O59" s="446"/>
      <c r="P59" s="311"/>
      <c r="Q59" s="1229"/>
      <c r="R59" s="1275"/>
      <c r="S59" s="1266"/>
      <c r="T59" s="1267"/>
      <c r="U59" s="1268"/>
      <c r="V59" s="1268"/>
      <c r="W59" s="1268"/>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268"/>
      <c r="AS59" s="1268"/>
      <c r="AT59" s="1268"/>
      <c r="AU59" s="1268"/>
      <c r="AV59" s="1268"/>
      <c r="AW59" s="1268"/>
      <c r="AX59" s="1268"/>
      <c r="AY59" s="1268"/>
      <c r="AZ59" s="1268"/>
      <c r="BA59" s="1268"/>
      <c r="BB59" s="1268"/>
      <c r="BC59" s="1269"/>
      <c r="BE59" s="428"/>
      <c r="BF59" s="428" t="str">
        <f t="shared" si="4"/>
        <v/>
      </c>
      <c r="BG59" s="428"/>
      <c r="BH59" s="428"/>
    </row>
    <row r="60" spans="1:60" s="1772" customFormat="1" ht="0" hidden="1" customHeight="1">
      <c r="A60" s="1228" t="s">
        <v>253</v>
      </c>
      <c r="B60" s="1228" t="s">
        <v>254</v>
      </c>
      <c r="C60" s="1228" t="s">
        <v>255</v>
      </c>
      <c r="D60" s="1200"/>
      <c r="E60" s="2236"/>
      <c r="F60" s="2236"/>
      <c r="G60" s="2235"/>
      <c r="H60" s="1200"/>
      <c r="I60" s="1200"/>
      <c r="J60" s="1200"/>
      <c r="K60" s="1200"/>
      <c r="L60" s="1356"/>
      <c r="M60" s="1201"/>
      <c r="N60" s="1201"/>
      <c r="P60" s="1202"/>
      <c r="Q60" s="1203"/>
      <c r="R60" s="1202"/>
      <c r="S60" s="1208"/>
      <c r="T60" s="1211"/>
      <c r="U60" s="1210"/>
      <c r="V60" s="1210"/>
      <c r="W60" s="1210"/>
      <c r="X60" s="1210"/>
      <c r="Y60" s="1210"/>
      <c r="Z60" s="1210"/>
      <c r="AA60" s="1210"/>
      <c r="AB60" s="1210"/>
      <c r="AC60" s="1210"/>
      <c r="AD60" s="1210"/>
      <c r="AE60" s="1210"/>
      <c r="AF60" s="1210"/>
      <c r="AG60" s="1210"/>
      <c r="AH60" s="1210"/>
      <c r="AI60" s="1210"/>
      <c r="AJ60" s="1210"/>
      <c r="AK60" s="1210"/>
      <c r="AL60" s="1210"/>
      <c r="AM60" s="1210"/>
      <c r="AN60" s="1210"/>
      <c r="AO60" s="1210"/>
      <c r="AP60" s="1210"/>
      <c r="AQ60" s="1210"/>
      <c r="AR60" s="1210"/>
      <c r="AS60" s="1210"/>
      <c r="AT60" s="1210"/>
      <c r="AU60" s="1210"/>
      <c r="AV60" s="1210"/>
      <c r="AW60" s="1210"/>
      <c r="AX60" s="1210"/>
      <c r="AY60" s="1210"/>
      <c r="AZ60" s="1210"/>
      <c r="BA60" s="1210"/>
      <c r="BB60" s="1210"/>
      <c r="BC60" s="1210"/>
      <c r="BE60" s="696"/>
      <c r="BF60" s="696" t="str">
        <f t="shared" si="4"/>
        <v/>
      </c>
      <c r="BG60" s="696"/>
      <c r="BH60" s="696"/>
    </row>
    <row r="61" spans="1:60" s="1772" customFormat="1" ht="0" hidden="1" customHeight="1">
      <c r="A61" s="1228" t="s">
        <v>253</v>
      </c>
      <c r="B61" s="1228" t="s">
        <v>254</v>
      </c>
      <c r="C61" s="1200"/>
      <c r="D61" s="1200"/>
      <c r="E61" s="2236"/>
      <c r="F61" s="2235"/>
      <c r="G61" s="1200"/>
      <c r="H61" s="1200"/>
      <c r="I61" s="1200"/>
      <c r="J61" s="1200"/>
      <c r="K61" s="1200"/>
      <c r="L61" s="1356"/>
      <c r="M61" s="1207"/>
      <c r="N61" s="1207"/>
      <c r="P61" s="1202"/>
      <c r="Q61" s="1203"/>
      <c r="R61" s="1202"/>
      <c r="S61" s="1208"/>
      <c r="T61" s="1211" t="s">
        <v>1437</v>
      </c>
      <c r="U61" s="1210"/>
      <c r="V61" s="1210"/>
      <c r="W61" s="1210"/>
      <c r="X61" s="1210"/>
      <c r="Y61" s="1210"/>
      <c r="Z61" s="1210"/>
      <c r="AA61" s="1210"/>
      <c r="AB61" s="1210"/>
      <c r="AC61" s="1210"/>
      <c r="AD61" s="1210"/>
      <c r="AE61" s="1210"/>
      <c r="AF61" s="1210"/>
      <c r="AG61" s="1210"/>
      <c r="AH61" s="1210"/>
      <c r="AI61" s="1210"/>
      <c r="AJ61" s="1210"/>
      <c r="AK61" s="1210"/>
      <c r="AL61" s="1210"/>
      <c r="AM61" s="1210"/>
      <c r="AN61" s="1210"/>
      <c r="AO61" s="1210"/>
      <c r="AP61" s="1210"/>
      <c r="AQ61" s="1210"/>
      <c r="AR61" s="1210"/>
      <c r="AS61" s="1210"/>
      <c r="AT61" s="1210"/>
      <c r="AU61" s="1210"/>
      <c r="AV61" s="1210"/>
      <c r="AW61" s="1210"/>
      <c r="AX61" s="1210"/>
      <c r="AY61" s="1210"/>
      <c r="AZ61" s="1210"/>
      <c r="BA61" s="1210"/>
      <c r="BB61" s="1210"/>
      <c r="BC61" s="1210"/>
      <c r="BE61" s="696"/>
      <c r="BF61" s="696" t="str">
        <f t="shared" si="4"/>
        <v>Добавить централизованную систему для дифференциации</v>
      </c>
      <c r="BG61" s="696"/>
      <c r="BH61" s="696"/>
    </row>
    <row r="62" spans="1:60" s="1772" customFormat="1" ht="0" hidden="1" customHeight="1">
      <c r="A62" s="1228" t="s">
        <v>253</v>
      </c>
      <c r="B62" s="1228"/>
      <c r="C62" s="1228"/>
      <c r="D62" s="1228"/>
      <c r="E62" s="2235"/>
      <c r="F62" s="1228"/>
      <c r="G62" s="1228"/>
      <c r="H62" s="1228"/>
      <c r="I62" s="1228"/>
      <c r="J62" s="1228"/>
      <c r="K62" s="1228"/>
      <c r="L62" s="1231"/>
      <c r="M62" s="1207"/>
      <c r="N62" s="1207"/>
      <c r="O62" s="446"/>
      <c r="P62" s="311"/>
      <c r="Q62" s="1229"/>
      <c r="R62" s="311"/>
      <c r="S62" s="1208"/>
      <c r="T62" s="1211" t="s">
        <v>1438</v>
      </c>
      <c r="U62" s="1210"/>
      <c r="V62" s="1210"/>
      <c r="W62" s="1210"/>
      <c r="X62" s="1210"/>
      <c r="Y62" s="1210"/>
      <c r="Z62" s="1210"/>
      <c r="AA62" s="1210"/>
      <c r="AB62" s="1210"/>
      <c r="AC62" s="1210"/>
      <c r="AD62" s="1210"/>
      <c r="AE62" s="1210"/>
      <c r="AF62" s="1210"/>
      <c r="AG62" s="1210"/>
      <c r="AH62" s="1210"/>
      <c r="AI62" s="1210"/>
      <c r="AJ62" s="1210"/>
      <c r="AK62" s="1210"/>
      <c r="AL62" s="1210"/>
      <c r="AM62" s="1210"/>
      <c r="AN62" s="1210"/>
      <c r="AO62" s="1210"/>
      <c r="AP62" s="1210"/>
      <c r="AQ62" s="1210"/>
      <c r="AR62" s="1210"/>
      <c r="AS62" s="1210"/>
      <c r="AT62" s="1210"/>
      <c r="AU62" s="1210"/>
      <c r="AV62" s="1210"/>
      <c r="AW62" s="1210"/>
      <c r="AX62" s="1210"/>
      <c r="AY62" s="1210"/>
      <c r="AZ62" s="1210"/>
      <c r="BA62" s="1210"/>
      <c r="BB62" s="1210"/>
      <c r="BC62" s="1210"/>
      <c r="BE62" s="428"/>
      <c r="BF62" s="428" t="str">
        <f t="shared" si="4"/>
        <v>Добавить территорию для дифференциации</v>
      </c>
      <c r="BG62" s="428"/>
      <c r="BH62" s="428"/>
    </row>
    <row r="63" spans="1:60" s="1772" customFormat="1" ht="0" hidden="1" customHeight="1">
      <c r="A63" s="1200"/>
      <c r="B63" s="1200"/>
      <c r="C63" s="1200"/>
      <c r="D63" s="1200"/>
      <c r="E63" s="1228"/>
      <c r="F63" s="1200"/>
      <c r="G63" s="1200"/>
      <c r="H63" s="1200"/>
      <c r="I63" s="1200"/>
      <c r="J63" s="1200"/>
      <c r="K63" s="1200"/>
      <c r="L63" s="1356"/>
      <c r="M63" s="1207"/>
      <c r="N63" s="1207"/>
      <c r="P63" s="1202"/>
      <c r="Q63" s="1203"/>
      <c r="R63" s="1202"/>
      <c r="S63" s="1208"/>
      <c r="T63" s="1211" t="s">
        <v>1439</v>
      </c>
      <c r="U63" s="1210"/>
      <c r="V63" s="1210"/>
      <c r="W63" s="1210"/>
      <c r="X63" s="1210"/>
      <c r="Y63" s="1210"/>
      <c r="Z63" s="1210"/>
      <c r="AA63" s="1210"/>
      <c r="AB63" s="1210"/>
      <c r="AC63" s="1210"/>
      <c r="AD63" s="1210"/>
      <c r="AE63" s="1210"/>
      <c r="AF63" s="1210"/>
      <c r="AG63" s="1210"/>
      <c r="AH63" s="1210"/>
      <c r="AI63" s="1210"/>
      <c r="AJ63" s="1210"/>
      <c r="AK63" s="1210"/>
      <c r="AL63" s="1210"/>
      <c r="AM63" s="1210"/>
      <c r="AN63" s="1210"/>
      <c r="AO63" s="1210"/>
      <c r="AP63" s="1210"/>
      <c r="AQ63" s="1210"/>
      <c r="AR63" s="1210"/>
      <c r="AS63" s="1210"/>
      <c r="AT63" s="1210"/>
      <c r="AU63" s="1210"/>
      <c r="AV63" s="1210"/>
      <c r="AW63" s="1210"/>
      <c r="AX63" s="1210"/>
      <c r="AY63" s="1210"/>
      <c r="AZ63" s="1210"/>
      <c r="BA63" s="1210"/>
      <c r="BB63" s="1210"/>
      <c r="BC63" s="1210"/>
      <c r="BE63" s="696"/>
      <c r="BF63" s="696" t="str">
        <f t="shared" si="4"/>
        <v>Добавить наименование тарифа</v>
      </c>
      <c r="BG63" s="696"/>
      <c r="BH63" s="696"/>
    </row>
    <row r="64" spans="1:60" ht="11.25" hidden="1" customHeight="1">
      <c r="M64" s="1036"/>
      <c r="N64" s="1036"/>
      <c r="O64" s="464"/>
      <c r="P64" s="1036"/>
      <c r="Q64" s="1036"/>
      <c r="R64" s="1031"/>
      <c r="S64" s="1031"/>
      <c r="BD64" s="1031"/>
      <c r="BE64" s="1031"/>
      <c r="BF64" s="1031"/>
      <c r="BG64" s="1031"/>
      <c r="BH64" s="1031"/>
    </row>
    <row r="65" spans="15:55" ht="18.75" hidden="1" customHeight="1">
      <c r="O65" s="464"/>
      <c r="S65" s="1128" t="s">
        <v>1509</v>
      </c>
      <c r="T65" s="2234" t="s">
        <v>1711</v>
      </c>
      <c r="U65" s="2234"/>
      <c r="V65" s="2234"/>
      <c r="W65" s="2234"/>
      <c r="X65" s="2234"/>
      <c r="Y65" s="2234"/>
      <c r="Z65" s="2234"/>
      <c r="AA65" s="2234"/>
      <c r="AB65" s="2234"/>
      <c r="AC65" s="2234"/>
      <c r="AD65" s="2234"/>
      <c r="AE65" s="2234"/>
      <c r="AF65" s="2234"/>
      <c r="AG65" s="2234"/>
      <c r="AH65" s="2234"/>
      <c r="AI65" s="2234"/>
      <c r="AJ65" s="2234"/>
      <c r="AK65" s="2234"/>
      <c r="AL65" s="2234"/>
      <c r="AM65" s="2234"/>
      <c r="AN65" s="2234"/>
      <c r="AO65" s="2234"/>
      <c r="AP65" s="2234"/>
      <c r="AQ65" s="2234"/>
      <c r="AR65" s="2234"/>
      <c r="AS65" s="2234"/>
      <c r="AT65" s="2234"/>
      <c r="AU65" s="2234"/>
      <c r="AV65" s="2234"/>
      <c r="AW65" s="2234"/>
      <c r="AX65" s="2234"/>
      <c r="AY65" s="2234"/>
      <c r="AZ65" s="2234"/>
      <c r="BA65" s="2234"/>
      <c r="BB65" s="2234"/>
      <c r="BC65" s="2234"/>
    </row>
    <row r="66" spans="15:55" ht="14.25" hidden="1" customHeight="1">
      <c r="O66" s="464"/>
      <c r="T66" s="1342"/>
      <c r="U66" s="1342"/>
      <c r="V66" s="1342"/>
      <c r="W66" s="1342"/>
      <c r="X66" s="1342"/>
      <c r="Y66" s="1342"/>
      <c r="Z66" s="1342"/>
      <c r="AA66" s="1342"/>
      <c r="AB66" s="1342"/>
      <c r="AC66" s="1342"/>
      <c r="AD66" s="1342"/>
      <c r="AE66" s="1342"/>
      <c r="AF66" s="1342"/>
      <c r="AG66" s="1342"/>
      <c r="AH66" s="1342"/>
      <c r="AI66" s="1342"/>
      <c r="AJ66" s="1342"/>
      <c r="AK66" s="1342"/>
      <c r="AL66" s="1342"/>
      <c r="AM66" s="1342"/>
      <c r="AN66" s="1342"/>
      <c r="AO66" s="1342"/>
      <c r="AP66" s="1342"/>
      <c r="AQ66" s="1342"/>
      <c r="AR66" s="1342"/>
      <c r="AS66" s="1342"/>
      <c r="AT66" s="1342"/>
      <c r="AU66" s="1342"/>
      <c r="AV66" s="1342"/>
      <c r="AW66" s="1342"/>
      <c r="AX66" s="1342"/>
      <c r="AY66" s="1342"/>
      <c r="AZ66" s="1342"/>
      <c r="BA66" s="1342"/>
      <c r="BB66" s="1342"/>
      <c r="BC66" s="1342"/>
    </row>
    <row r="67" spans="15:55" ht="18.75" hidden="1" customHeight="1">
      <c r="O67" s="464"/>
      <c r="S67" s="1128" t="s">
        <v>1509</v>
      </c>
      <c r="T67" s="2234" t="s">
        <v>1675</v>
      </c>
      <c r="U67" s="2234"/>
      <c r="V67" s="2234"/>
      <c r="W67" s="2234"/>
      <c r="X67" s="2234"/>
      <c r="Y67" s="2234"/>
      <c r="Z67" s="2234"/>
      <c r="AA67" s="2234"/>
      <c r="AB67" s="2234"/>
      <c r="AC67" s="2234"/>
      <c r="AD67" s="2234"/>
      <c r="AE67" s="2234"/>
      <c r="AF67" s="2234"/>
      <c r="AG67" s="2234"/>
      <c r="AH67" s="2234"/>
      <c r="AI67" s="2234"/>
      <c r="AJ67" s="2234"/>
      <c r="AK67" s="2234"/>
      <c r="AL67" s="2234"/>
      <c r="AM67" s="2234"/>
      <c r="AN67" s="2234"/>
      <c r="AO67" s="2234"/>
      <c r="AP67" s="2234"/>
      <c r="AQ67" s="2234"/>
      <c r="AR67" s="2234"/>
      <c r="AS67" s="2234"/>
      <c r="AT67" s="2234"/>
      <c r="AU67" s="2234"/>
      <c r="AV67" s="2234"/>
      <c r="AW67" s="2234"/>
      <c r="AX67" s="2234"/>
      <c r="AY67" s="2234"/>
      <c r="AZ67" s="2234"/>
      <c r="BA67" s="2234"/>
      <c r="BB67" s="2234"/>
      <c r="BC67" s="2234"/>
    </row>
    <row r="68" spans="15:55" ht="14.25" customHeight="1">
      <c r="O68" s="464"/>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workbookViewId="0"/>
  </sheetViews>
  <sheetFormatPr defaultColWidth="10.5703125" defaultRowHeight="14.25" customHeight="1"/>
  <cols>
    <col min="1" max="1" width="10.5703125" style="1759" hidden="1"/>
    <col min="2" max="2" width="11" style="1759" hidden="1" customWidth="1"/>
    <col min="3" max="3" width="10.5703125" style="1759" hidden="1"/>
    <col min="4" max="4" width="11.85546875" style="1759" hidden="1" customWidth="1"/>
    <col min="5" max="5" width="10" style="1759" hidden="1" customWidth="1"/>
    <col min="6" max="6" width="8.7109375" style="1759" hidden="1" customWidth="1"/>
    <col min="7" max="7" width="7.5703125" style="1759" hidden="1" customWidth="1"/>
    <col min="8" max="8" width="11.42578125" style="1759" hidden="1" customWidth="1"/>
    <col min="9" max="9" width="14.140625" style="1759" hidden="1" customWidth="1"/>
    <col min="10" max="10" width="9.85546875" style="1759" hidden="1" customWidth="1"/>
    <col min="11" max="11" width="14.7109375" style="1759" hidden="1" customWidth="1"/>
    <col min="12" max="12" width="19.140625" style="1758" hidden="1" customWidth="1"/>
    <col min="13" max="14" width="12.28515625" style="1686" hidden="1" customWidth="1"/>
    <col min="15" max="15" width="23.42578125" style="1686" hidden="1" customWidth="1"/>
    <col min="16" max="16" width="3.7109375" style="1740" customWidth="1"/>
    <col min="17" max="18" width="3.7109375" style="1677" customWidth="1"/>
    <col min="19" max="19" width="12.7109375" style="1727" customWidth="1"/>
    <col min="20" max="20" width="35.7109375" style="1846" customWidth="1"/>
    <col min="21" max="21" width="0.140625" style="1846" customWidth="1"/>
    <col min="22" max="24" width="24.7109375" style="1846" hidden="1" customWidth="1"/>
    <col min="25" max="25" width="11.7109375" style="1846" hidden="1" customWidth="1"/>
    <col min="26" max="26" width="3.7109375" style="1846" hidden="1" customWidth="1"/>
    <col min="27" max="27" width="11.7109375" style="1846" hidden="1" customWidth="1"/>
    <col min="28" max="28" width="8.5703125" style="1846" hidden="1" customWidth="1"/>
    <col min="29" max="31" width="24.7109375" style="1846" customWidth="1"/>
    <col min="32" max="32" width="11.7109375" style="1846" customWidth="1"/>
    <col min="33" max="33" width="3.7109375" style="1846" customWidth="1"/>
    <col min="34" max="34" width="11.7109375" style="1846" customWidth="1"/>
    <col min="35" max="35" width="8.5703125" style="1846" hidden="1" customWidth="1"/>
    <col min="36" max="36" width="4.7109375" style="1846" customWidth="1"/>
    <col min="37" max="37" width="115.7109375" style="1846" customWidth="1"/>
    <col min="38" max="39" width="10.5703125" style="1772"/>
    <col min="40" max="40" width="11.140625" style="1772" customWidth="1"/>
    <col min="41" max="42" width="10.5703125" style="1772"/>
  </cols>
  <sheetData>
    <row r="1" spans="1:42" ht="14.25" hidden="1" customHeight="1">
      <c r="X1" s="254"/>
      <c r="Y1" s="254"/>
      <c r="AE1" s="254"/>
      <c r="AF1" s="254"/>
    </row>
    <row r="2" spans="1:42" ht="23.25" hidden="1" customHeight="1">
      <c r="A2" s="1244"/>
      <c r="B2" s="1244"/>
      <c r="C2" s="1244"/>
      <c r="D2" s="1244"/>
      <c r="E2" s="2235">
        <v>1</v>
      </c>
      <c r="F2" s="1244"/>
      <c r="G2" s="1244"/>
      <c r="H2" s="1244"/>
      <c r="I2" s="1244"/>
      <c r="J2" s="1244"/>
      <c r="K2" s="1244"/>
      <c r="L2" s="1245"/>
      <c r="M2" s="1246"/>
      <c r="N2" s="1246"/>
      <c r="O2" s="1246"/>
      <c r="P2" s="285"/>
      <c r="Q2" s="284"/>
      <c r="R2" s="279"/>
      <c r="S2" s="1355" t="e">
        <f>INDEX(PT_DIFFERENTIATION_NUM_NTAR,MATCH(A2,PT_DIFFERENTIATION_NTAR_ID,0))</f>
        <v>#N/A</v>
      </c>
      <c r="T2" s="216" t="s">
        <v>124</v>
      </c>
      <c r="U2" s="218"/>
      <c r="V2" s="2229"/>
      <c r="W2" s="2230"/>
      <c r="X2" s="2230"/>
      <c r="Y2" s="2230"/>
      <c r="Z2" s="2230"/>
      <c r="AA2" s="2230"/>
      <c r="AB2" s="2231"/>
      <c r="AC2" s="2229" t="e">
        <f>INDEX(PT_DIFFERENTIATION_NTAR,MATCH(A2,PT_DIFFERENTIATION_NTAR_ID,0))</f>
        <v>#N/A</v>
      </c>
      <c r="AD2" s="2230"/>
      <c r="AE2" s="2230"/>
      <c r="AF2" s="2230"/>
      <c r="AG2" s="2230"/>
      <c r="AH2" s="2230"/>
      <c r="AI2" s="2230"/>
      <c r="AJ2" s="2231"/>
      <c r="AK2" s="114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8"/>
      <c r="AN2" s="428" t="str">
        <f t="shared" ref="AN2:AN13" si="0">IF(T2="","",T2)</f>
        <v>Наименование тарифа</v>
      </c>
      <c r="AO2" s="428"/>
      <c r="AP2" s="428"/>
    </row>
    <row r="3" spans="1:42" ht="23.25" hidden="1" customHeight="1">
      <c r="A3" s="1244"/>
      <c r="B3" s="1244"/>
      <c r="C3" s="1244"/>
      <c r="D3" s="1244"/>
      <c r="E3" s="2236"/>
      <c r="F3" s="2235">
        <v>1</v>
      </c>
      <c r="G3" s="1244"/>
      <c r="H3" s="1244"/>
      <c r="I3" s="1244"/>
      <c r="J3" s="1244"/>
      <c r="K3" s="1244"/>
      <c r="L3" s="1245"/>
      <c r="M3" s="1246"/>
      <c r="N3" s="1246"/>
      <c r="O3" s="1246"/>
      <c r="P3" s="1349"/>
      <c r="Q3" s="276"/>
      <c r="R3" s="277"/>
      <c r="S3" s="1355" t="e">
        <f>INDEX(PT_DIFFERENTIATION_NUM_TER,MATCH(B3,PT_DIFFERENTIATION_TER_ID,0))</f>
        <v>#N/A</v>
      </c>
      <c r="T3" s="228" t="s">
        <v>1461</v>
      </c>
      <c r="U3" s="218"/>
      <c r="V3" s="2229"/>
      <c r="W3" s="2230"/>
      <c r="X3" s="2230"/>
      <c r="Y3" s="2230"/>
      <c r="Z3" s="2230"/>
      <c r="AA3" s="2230"/>
      <c r="AB3" s="2231"/>
      <c r="AC3" s="2229" t="e">
        <f>INDEX(PT_DIFFERENTIATION_TER,MATCH(B3,PT_DIFFERENTIATION_TER_ID,0))</f>
        <v>#N/A</v>
      </c>
      <c r="AD3" s="2230"/>
      <c r="AE3" s="2230"/>
      <c r="AF3" s="2230"/>
      <c r="AG3" s="2230"/>
      <c r="AH3" s="2230"/>
      <c r="AI3" s="2230"/>
      <c r="AJ3" s="2231"/>
      <c r="AK3" s="1140" t="s">
        <v>1462</v>
      </c>
      <c r="AM3" s="428"/>
      <c r="AN3" s="428" t="str">
        <f t="shared" si="0"/>
        <v>Территория действия тарифа</v>
      </c>
      <c r="AO3" s="428"/>
      <c r="AP3" s="428"/>
    </row>
    <row r="4" spans="1:42" ht="23.25" hidden="1" customHeight="1">
      <c r="A4" s="1244"/>
      <c r="B4" s="1244"/>
      <c r="C4" s="1244"/>
      <c r="D4" s="1244"/>
      <c r="E4" s="2236"/>
      <c r="F4" s="2236"/>
      <c r="G4" s="2235">
        <v>1</v>
      </c>
      <c r="H4" s="1244"/>
      <c r="I4" s="1244"/>
      <c r="J4" s="1244"/>
      <c r="K4" s="1244"/>
      <c r="L4" s="1245"/>
      <c r="M4" s="1246"/>
      <c r="N4" s="1246"/>
      <c r="O4" s="1246"/>
      <c r="P4" s="278"/>
      <c r="Q4" s="276"/>
      <c r="R4" s="277"/>
      <c r="S4" s="1355" t="e">
        <f>INDEX(PT_DIFFERENTIATION_NUM_CS,MATCH(C4,PT_DIFFERENTIATION_CS_ID,0))</f>
        <v>#N/A</v>
      </c>
      <c r="T4" s="229" t="s">
        <v>2109</v>
      </c>
      <c r="U4" s="218"/>
      <c r="V4" s="2229"/>
      <c r="W4" s="2230"/>
      <c r="X4" s="2230"/>
      <c r="Y4" s="2230"/>
      <c r="Z4" s="2230"/>
      <c r="AA4" s="2230"/>
      <c r="AB4" s="2231"/>
      <c r="AC4" s="2229" t="e">
        <f>INDEX(PT_DIFFERENTIATION_CS,MATCH(C4,PT_DIFFERENTIATION_CS_ID,0))</f>
        <v>#N/A</v>
      </c>
      <c r="AD4" s="2230"/>
      <c r="AE4" s="2230"/>
      <c r="AF4" s="2230"/>
      <c r="AG4" s="2230"/>
      <c r="AH4" s="2230"/>
      <c r="AI4" s="2230"/>
      <c r="AJ4" s="2231"/>
      <c r="AK4" s="1140" t="s">
        <v>2110</v>
      </c>
      <c r="AM4" s="428"/>
      <c r="AN4" s="428" t="str">
        <f t="shared" si="0"/>
        <v>Наименование централизованной системы водоотведения</v>
      </c>
      <c r="AO4" s="428"/>
      <c r="AP4" s="428"/>
    </row>
    <row r="5" spans="1:42" ht="23.25" hidden="1" customHeight="1">
      <c r="A5" s="1244"/>
      <c r="B5" s="1244"/>
      <c r="C5" s="1244"/>
      <c r="D5" s="1244"/>
      <c r="E5" s="2236"/>
      <c r="F5" s="2236"/>
      <c r="G5" s="2236"/>
      <c r="H5" s="2236"/>
      <c r="I5" s="2237" t="e">
        <f>S4&amp;".1"</f>
        <v>#N/A</v>
      </c>
      <c r="J5" s="1244"/>
      <c r="K5" s="1244"/>
      <c r="L5" s="1245"/>
      <c r="P5" s="2157">
        <v>1</v>
      </c>
      <c r="Q5" s="1343"/>
      <c r="R5" s="280"/>
      <c r="S5" s="1355" t="e">
        <f>$I5</f>
        <v>#N/A</v>
      </c>
      <c r="T5" s="203" t="s">
        <v>1678</v>
      </c>
      <c r="U5" s="218"/>
      <c r="V5" s="2327"/>
      <c r="W5" s="2328"/>
      <c r="X5" s="2328"/>
      <c r="Y5" s="2328"/>
      <c r="Z5" s="2328"/>
      <c r="AA5" s="2328"/>
      <c r="AB5" s="2329"/>
      <c r="AC5" s="2330"/>
      <c r="AD5" s="2331"/>
      <c r="AE5" s="2331"/>
      <c r="AF5" s="2331"/>
      <c r="AG5" s="2331"/>
      <c r="AH5" s="2331"/>
      <c r="AI5" s="2331"/>
      <c r="AJ5" s="2332"/>
      <c r="AK5" s="1140" t="s">
        <v>1679</v>
      </c>
      <c r="AM5" s="428"/>
      <c r="AN5" s="428" t="str">
        <f t="shared" si="0"/>
        <v>Наименование признака дифференциации</v>
      </c>
      <c r="AO5" s="428"/>
      <c r="AP5" s="428"/>
    </row>
    <row r="6" spans="1:42" ht="23.25" hidden="1" customHeight="1">
      <c r="A6" s="1244"/>
      <c r="B6" s="1244"/>
      <c r="C6" s="1244"/>
      <c r="D6" s="1244"/>
      <c r="E6" s="2236"/>
      <c r="F6" s="2236"/>
      <c r="G6" s="2236"/>
      <c r="H6" s="2236"/>
      <c r="I6" s="2238"/>
      <c r="J6" s="2237" t="e">
        <f>I5&amp;".1"</f>
        <v>#N/A</v>
      </c>
      <c r="K6" s="1244"/>
      <c r="L6" s="1245" t="s">
        <v>1470</v>
      </c>
      <c r="P6" s="2157"/>
      <c r="Q6" s="2157">
        <v>1</v>
      </c>
      <c r="R6" s="281"/>
      <c r="S6" s="1355" t="e">
        <f>$J6</f>
        <v>#N/A</v>
      </c>
      <c r="T6" s="204" t="s">
        <v>1471</v>
      </c>
      <c r="U6" s="218"/>
      <c r="V6" s="2224"/>
      <c r="W6" s="2225"/>
      <c r="X6" s="2225"/>
      <c r="Y6" s="2225"/>
      <c r="Z6" s="2225"/>
      <c r="AA6" s="2225"/>
      <c r="AB6" s="2226"/>
      <c r="AC6" s="2224"/>
      <c r="AD6" s="2225"/>
      <c r="AE6" s="2225"/>
      <c r="AF6" s="2225"/>
      <c r="AG6" s="2225"/>
      <c r="AH6" s="2225"/>
      <c r="AI6" s="2225"/>
      <c r="AJ6" s="2226"/>
      <c r="AK6" s="1194" t="s">
        <v>1680</v>
      </c>
      <c r="AM6" s="428"/>
      <c r="AN6" s="428" t="str">
        <f t="shared" si="0"/>
        <v>Группа потребителей</v>
      </c>
      <c r="AO6" s="428"/>
      <c r="AP6" s="428"/>
    </row>
    <row r="7" spans="1:42" ht="23.25" hidden="1" customHeight="1">
      <c r="A7" s="1244"/>
      <c r="B7" s="1244"/>
      <c r="C7" s="1244"/>
      <c r="D7" s="1244"/>
      <c r="E7" s="2236"/>
      <c r="F7" s="2236"/>
      <c r="G7" s="2236"/>
      <c r="H7" s="2236"/>
      <c r="I7" s="2238"/>
      <c r="J7" s="2238"/>
      <c r="K7" s="2237" t="e">
        <f>J6&amp;".1"</f>
        <v>#N/A</v>
      </c>
      <c r="L7" s="1245"/>
      <c r="P7" s="2157"/>
      <c r="Q7" s="2157"/>
      <c r="R7" s="281">
        <v>1</v>
      </c>
      <c r="S7" s="1355" t="e">
        <f>$K7</f>
        <v>#N/A</v>
      </c>
      <c r="T7" s="1306"/>
      <c r="U7" s="218"/>
      <c r="V7" s="1667"/>
      <c r="W7" s="1667"/>
      <c r="X7" s="1669"/>
      <c r="Y7" s="2239"/>
      <c r="Z7" s="2031" t="s">
        <v>66</v>
      </c>
      <c r="AA7" s="2239"/>
      <c r="AB7" s="2031" t="s">
        <v>66</v>
      </c>
      <c r="AC7" s="1667"/>
      <c r="AD7" s="1667"/>
      <c r="AE7" s="1669"/>
      <c r="AF7" s="2239"/>
      <c r="AG7" s="2031" t="s">
        <v>66</v>
      </c>
      <c r="AH7" s="2241"/>
      <c r="AI7" s="2031" t="s">
        <v>66</v>
      </c>
      <c r="AJ7" s="1706"/>
      <c r="AK7" s="233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9" t="e">
        <f ca="1">STRCHECKDATE(V8:AJ8)</f>
        <v>#NAME?</v>
      </c>
      <c r="AM7" s="428"/>
      <c r="AN7" s="428" t="str">
        <f t="shared" si="0"/>
        <v/>
      </c>
      <c r="AO7" s="428"/>
      <c r="AP7" s="428"/>
    </row>
    <row r="8" spans="1:42" ht="0.75" hidden="1" customHeight="1">
      <c r="A8" s="1244"/>
      <c r="B8" s="1244"/>
      <c r="C8" s="1244"/>
      <c r="D8" s="1244"/>
      <c r="E8" s="2236"/>
      <c r="F8" s="2236"/>
      <c r="G8" s="2236"/>
      <c r="H8" s="2236"/>
      <c r="I8" s="2238"/>
      <c r="J8" s="2238"/>
      <c r="K8" s="2237"/>
      <c r="L8" s="1245"/>
      <c r="P8" s="2157"/>
      <c r="Q8" s="2157"/>
      <c r="R8" s="281"/>
      <c r="S8" s="1352"/>
      <c r="T8" s="218"/>
      <c r="U8" s="218"/>
      <c r="V8" s="1668"/>
      <c r="W8" s="1668"/>
      <c r="X8" s="1670" t="str">
        <f>Y7&amp;"-"&amp;AA7</f>
        <v>-</v>
      </c>
      <c r="Y8" s="2240"/>
      <c r="Z8" s="2031"/>
      <c r="AA8" s="2240"/>
      <c r="AB8" s="2031"/>
      <c r="AC8" s="1668"/>
      <c r="AD8" s="1668"/>
      <c r="AE8" s="1670" t="str">
        <f>AF7&amp;"-"&amp;AH7</f>
        <v>-</v>
      </c>
      <c r="AF8" s="2240"/>
      <c r="AG8" s="2031"/>
      <c r="AH8" s="2242"/>
      <c r="AI8" s="2031"/>
      <c r="AJ8" s="1707"/>
      <c r="AK8" s="2333"/>
      <c r="AM8" s="428"/>
      <c r="AN8" s="428" t="str">
        <f t="shared" si="0"/>
        <v/>
      </c>
      <c r="AO8" s="428"/>
      <c r="AP8" s="428"/>
    </row>
    <row r="9" spans="1:42" ht="21" hidden="1" customHeight="1">
      <c r="A9" s="1244"/>
      <c r="B9" s="1244"/>
      <c r="C9" s="1244"/>
      <c r="D9" s="1244"/>
      <c r="E9" s="2236"/>
      <c r="F9" s="2236"/>
      <c r="G9" s="2236"/>
      <c r="H9" s="2236"/>
      <c r="I9" s="2238"/>
      <c r="J9" s="2237"/>
      <c r="K9" s="1244"/>
      <c r="L9" s="1245"/>
      <c r="P9" s="2157"/>
      <c r="Q9" s="2157"/>
      <c r="R9" s="280"/>
      <c r="S9" s="1161"/>
      <c r="T9" s="205" t="s">
        <v>1681</v>
      </c>
      <c r="U9" s="294"/>
      <c r="V9" s="294"/>
      <c r="W9" s="294"/>
      <c r="X9" s="294"/>
      <c r="Y9" s="294"/>
      <c r="Z9" s="294"/>
      <c r="AA9" s="294"/>
      <c r="AB9" s="294"/>
      <c r="AC9" s="294"/>
      <c r="AD9" s="294"/>
      <c r="AE9" s="294"/>
      <c r="AF9" s="294"/>
      <c r="AG9" s="294"/>
      <c r="AH9" s="294"/>
      <c r="AI9" s="294"/>
      <c r="AJ9" s="294"/>
      <c r="AK9" s="1140" t="s">
        <v>1682</v>
      </c>
      <c r="AM9" s="428"/>
      <c r="AN9" s="428" t="str">
        <f t="shared" si="0"/>
        <v>Добавить значение признака дифференциации</v>
      </c>
      <c r="AO9" s="428"/>
      <c r="AP9" s="428"/>
    </row>
    <row r="10" spans="1:42" ht="21" hidden="1" customHeight="1">
      <c r="A10" s="1244"/>
      <c r="B10" s="1244"/>
      <c r="C10" s="1244"/>
      <c r="D10" s="1244"/>
      <c r="E10" s="2236"/>
      <c r="F10" s="2236"/>
      <c r="G10" s="2236"/>
      <c r="H10" s="2236"/>
      <c r="I10" s="2237"/>
      <c r="J10" s="1244"/>
      <c r="K10" s="1244"/>
      <c r="L10" s="1245"/>
      <c r="P10" s="2157"/>
      <c r="Q10" s="1343"/>
      <c r="R10" s="280"/>
      <c r="S10" s="1161"/>
      <c r="T10" s="291" t="s">
        <v>1476</v>
      </c>
      <c r="U10" s="294"/>
      <c r="V10" s="294"/>
      <c r="W10" s="294"/>
      <c r="X10" s="294"/>
      <c r="Y10" s="294"/>
      <c r="Z10" s="294"/>
      <c r="AA10" s="294"/>
      <c r="AB10" s="293"/>
      <c r="AC10" s="294"/>
      <c r="AD10" s="294"/>
      <c r="AE10" s="294"/>
      <c r="AF10" s="294"/>
      <c r="AG10" s="294"/>
      <c r="AH10" s="294"/>
      <c r="AI10" s="293"/>
      <c r="AJ10" s="294"/>
      <c r="AK10" s="1307"/>
      <c r="AM10" s="428"/>
      <c r="AN10" s="428" t="str">
        <f t="shared" si="0"/>
        <v>Добавить группу потребителей</v>
      </c>
      <c r="AO10" s="428"/>
      <c r="AP10" s="428"/>
    </row>
    <row r="11" spans="1:42" ht="21" hidden="1" customHeight="1">
      <c r="A11" s="1244"/>
      <c r="B11" s="1244"/>
      <c r="C11" s="1244"/>
      <c r="D11" s="1244"/>
      <c r="E11" s="2236"/>
      <c r="F11" s="2236"/>
      <c r="G11" s="2236"/>
      <c r="H11" s="2235"/>
      <c r="I11" s="1244"/>
      <c r="J11" s="1244"/>
      <c r="K11" s="1244"/>
      <c r="L11" s="1245"/>
      <c r="M11" s="1246"/>
      <c r="N11" s="1246"/>
      <c r="O11" s="464"/>
      <c r="P11" s="284"/>
      <c r="Q11" s="303"/>
      <c r="R11" s="279"/>
      <c r="S11" s="1161"/>
      <c r="T11" s="299" t="s">
        <v>1683</v>
      </c>
      <c r="U11" s="294"/>
      <c r="V11" s="294"/>
      <c r="W11" s="294"/>
      <c r="X11" s="294"/>
      <c r="Y11" s="294"/>
      <c r="Z11" s="294"/>
      <c r="AA11" s="294"/>
      <c r="AB11" s="293"/>
      <c r="AC11" s="294"/>
      <c r="AD11" s="294"/>
      <c r="AE11" s="294"/>
      <c r="AF11" s="294"/>
      <c r="AG11" s="294"/>
      <c r="AH11" s="294"/>
      <c r="AI11" s="293"/>
      <c r="AJ11" s="294"/>
      <c r="AK11" s="221"/>
      <c r="AM11" s="428"/>
      <c r="AN11" s="428" t="str">
        <f t="shared" si="0"/>
        <v>Добавить наименование признака дифференциации</v>
      </c>
      <c r="AO11" s="428"/>
      <c r="AP11" s="428"/>
    </row>
    <row r="12" spans="1:42" s="1772" customFormat="1" ht="0.75" hidden="1" customHeight="1">
      <c r="A12" s="1228"/>
      <c r="B12" s="1228"/>
      <c r="C12" s="1200"/>
      <c r="D12" s="1200"/>
      <c r="E12" s="2236"/>
      <c r="F12" s="2235"/>
      <c r="G12" s="1200"/>
      <c r="H12" s="1200"/>
      <c r="I12" s="1200"/>
      <c r="J12" s="1200"/>
      <c r="K12" s="1200"/>
      <c r="L12" s="1356"/>
      <c r="M12" s="1207"/>
      <c r="N12" s="1207"/>
      <c r="P12" s="1202"/>
      <c r="Q12" s="1203"/>
      <c r="R12" s="1202"/>
      <c r="S12" s="1208"/>
      <c r="T12" s="1211" t="s">
        <v>1437</v>
      </c>
      <c r="U12" s="1210"/>
      <c r="V12" s="1210"/>
      <c r="W12" s="1210"/>
      <c r="X12" s="1210"/>
      <c r="Y12" s="1210"/>
      <c r="Z12" s="1210"/>
      <c r="AA12" s="1210"/>
      <c r="AB12" s="1210"/>
      <c r="AC12" s="1210"/>
      <c r="AD12" s="1210"/>
      <c r="AE12" s="1210"/>
      <c r="AF12" s="1210"/>
      <c r="AG12" s="1210"/>
      <c r="AH12" s="1210"/>
      <c r="AI12" s="1210"/>
      <c r="AJ12" s="1210"/>
      <c r="AK12" s="1210"/>
      <c r="AM12" s="696"/>
      <c r="AN12" s="696" t="str">
        <f t="shared" si="0"/>
        <v>Добавить централизованную систему для дифференциации</v>
      </c>
      <c r="AO12" s="696"/>
      <c r="AP12" s="696"/>
    </row>
    <row r="13" spans="1:42" s="1772" customFormat="1" ht="0.75" hidden="1" customHeight="1">
      <c r="A13" s="1228"/>
      <c r="B13" s="1228"/>
      <c r="C13" s="1228"/>
      <c r="D13" s="1228"/>
      <c r="E13" s="2235"/>
      <c r="F13" s="1228"/>
      <c r="G13" s="1228"/>
      <c r="H13" s="1228"/>
      <c r="I13" s="1228"/>
      <c r="J13" s="1228"/>
      <c r="K13" s="1228"/>
      <c r="L13" s="1231"/>
      <c r="M13" s="1207"/>
      <c r="N13" s="1207"/>
      <c r="O13" s="446"/>
      <c r="P13" s="311"/>
      <c r="Q13" s="1229"/>
      <c r="R13" s="311"/>
      <c r="S13" s="1208"/>
      <c r="T13" s="1211" t="s">
        <v>1438</v>
      </c>
      <c r="U13" s="1210"/>
      <c r="V13" s="1210"/>
      <c r="W13" s="1210"/>
      <c r="X13" s="1210"/>
      <c r="Y13" s="1210"/>
      <c r="Z13" s="1210"/>
      <c r="AA13" s="1210"/>
      <c r="AB13" s="1210"/>
      <c r="AC13" s="1210"/>
      <c r="AD13" s="1210"/>
      <c r="AE13" s="1210"/>
      <c r="AF13" s="1210"/>
      <c r="AG13" s="1210"/>
      <c r="AH13" s="1210"/>
      <c r="AI13" s="1210"/>
      <c r="AJ13" s="1210"/>
      <c r="AK13" s="1210"/>
      <c r="AM13" s="428"/>
      <c r="AN13" s="428" t="str">
        <f t="shared" si="0"/>
        <v>Добавить территорию для дифференциации</v>
      </c>
      <c r="AO13" s="428"/>
      <c r="AP13" s="428"/>
    </row>
    <row r="14" spans="1:42" ht="14.25" hidden="1" customHeight="1">
      <c r="AB14" s="254"/>
      <c r="AI14" s="254"/>
    </row>
    <row r="15" spans="1:42" ht="14.25" hidden="1" customHeight="1">
      <c r="AC15" s="1671"/>
      <c r="AD15" s="1671"/>
      <c r="AE15" s="1672"/>
      <c r="AF15" s="2233"/>
      <c r="AG15" s="2232" t="s">
        <v>66</v>
      </c>
      <c r="AH15" s="2233"/>
      <c r="AI15" s="2232" t="s">
        <v>66</v>
      </c>
    </row>
    <row r="16" spans="1:42" ht="14.25" hidden="1" customHeight="1">
      <c r="AC16" s="1671"/>
      <c r="AD16" s="1671"/>
      <c r="AE16" s="1670" t="str">
        <f>AF15&amp;"-"&amp;AH15</f>
        <v>-</v>
      </c>
      <c r="AF16" s="2232"/>
      <c r="AG16" s="2232"/>
      <c r="AH16" s="2232"/>
      <c r="AI16" s="2232"/>
    </row>
    <row r="17" spans="1:42" ht="14.25" hidden="1" customHeight="1">
      <c r="AI17" s="254"/>
    </row>
    <row r="18" spans="1:42" s="1759" customFormat="1" ht="14.25" hidden="1" customHeight="1">
      <c r="L18" s="1340"/>
      <c r="M18" s="1243"/>
      <c r="N18" s="1243"/>
      <c r="O18" s="1248" t="s">
        <v>1478</v>
      </c>
      <c r="P18" s="1243"/>
      <c r="Q18" s="1252"/>
      <c r="R18" s="1252"/>
      <c r="S18" s="644"/>
      <c r="Y18" s="1248"/>
      <c r="AA18" s="1248"/>
      <c r="AB18" s="1247"/>
      <c r="AF18" s="1248"/>
      <c r="AH18" s="1248"/>
      <c r="AI18" s="1247"/>
      <c r="AL18" s="439"/>
      <c r="AM18" s="439"/>
      <c r="AN18" s="439"/>
      <c r="AO18" s="439"/>
      <c r="AP18" s="439"/>
    </row>
    <row r="19" spans="1:42" s="1759" customFormat="1" ht="14.25" hidden="1" customHeight="1">
      <c r="L19" s="1340"/>
      <c r="M19" s="1243"/>
      <c r="N19" s="1243"/>
      <c r="O19" s="1243"/>
      <c r="P19" s="1243"/>
      <c r="Q19" s="1252"/>
      <c r="R19" s="1252"/>
      <c r="S19" s="644"/>
      <c r="AB19" s="1247"/>
      <c r="AI19" s="1247"/>
      <c r="AL19" s="439"/>
      <c r="AM19" s="439"/>
      <c r="AN19" s="439"/>
      <c r="AO19" s="439"/>
      <c r="AP19" s="439"/>
    </row>
    <row r="20" spans="1:42" s="1759" customFormat="1" ht="12" hidden="1" customHeight="1">
      <c r="L20" s="1340"/>
      <c r="M20" s="1243"/>
      <c r="N20" s="1243"/>
      <c r="O20" s="1245" t="s">
        <v>1479</v>
      </c>
      <c r="P20" s="1243"/>
      <c r="Q20" s="1308"/>
      <c r="R20" s="1308"/>
      <c r="S20" s="644"/>
      <c r="T20" s="1036" t="s">
        <v>1480</v>
      </c>
      <c r="Z20" s="111" t="s">
        <v>1481</v>
      </c>
      <c r="AB20" s="111" t="s">
        <v>1482</v>
      </c>
      <c r="AC20" s="1036" t="s">
        <v>1480</v>
      </c>
      <c r="AG20" s="111" t="s">
        <v>1483</v>
      </c>
      <c r="AI20" s="111" t="s">
        <v>1482</v>
      </c>
    </row>
    <row r="21" spans="1:42" ht="14.25" hidden="1" customHeight="1">
      <c r="O21" s="1245"/>
    </row>
    <row r="22" spans="1:42" ht="14.25" hidden="1" customHeight="1">
      <c r="O22" s="1245"/>
    </row>
    <row r="23" spans="1:42" ht="14.25" customHeight="1">
      <c r="Q23" s="304"/>
      <c r="R23" s="304"/>
      <c r="S23" s="1158"/>
      <c r="T23" s="289"/>
      <c r="U23" s="289"/>
      <c r="V23" s="437"/>
      <c r="W23" s="437"/>
      <c r="X23" s="437"/>
      <c r="Y23" s="437"/>
      <c r="Z23" s="437"/>
      <c r="AA23" s="437"/>
      <c r="AB23" s="437"/>
      <c r="AC23" s="437"/>
      <c r="AD23" s="437"/>
      <c r="AE23" s="437"/>
      <c r="AF23" s="437"/>
      <c r="AG23" s="437"/>
      <c r="AH23" s="437"/>
      <c r="AI23" s="437"/>
    </row>
    <row r="24" spans="1:42" ht="32.25" customHeight="1">
      <c r="Q24" s="304"/>
      <c r="R24" s="304"/>
      <c r="S24" s="2079" t="str">
        <f>IF(TEMPLATE_GROUP="P",PT_P_FORM_VOTV_4_NAME_FORM,PT_R_FORM_VOTV_16_NAME_FORM)</f>
        <v>Форма 16. Информация о предложении расчетной величины тарифов организации водоотведения об установлении тарифов в сфере водоотведения на очередной период регулирования &lt;1&gt;</v>
      </c>
      <c r="T24" s="2079"/>
      <c r="U24" s="2079"/>
      <c r="V24" s="2079"/>
      <c r="W24" s="2079"/>
      <c r="X24" s="2079"/>
      <c r="Y24" s="2079"/>
      <c r="Z24" s="2079"/>
      <c r="AA24" s="2079"/>
      <c r="AB24" s="2079"/>
      <c r="AC24" s="2079"/>
      <c r="AD24" s="2079"/>
      <c r="AE24" s="2079"/>
      <c r="AF24" s="2079"/>
      <c r="AG24" s="2079"/>
      <c r="AH24" s="2079"/>
      <c r="AI24" s="1116"/>
    </row>
    <row r="25" spans="1:42" ht="14.25" customHeight="1">
      <c r="Q25" s="304"/>
      <c r="R25" s="304"/>
      <c r="S25" s="2102" t="str">
        <f>IF(org=0,"Не определено",org)</f>
        <v>ООО "Автозаводская ТЭЦ"</v>
      </c>
      <c r="T25" s="2102"/>
      <c r="U25" s="2102"/>
      <c r="V25" s="2102"/>
      <c r="W25" s="2102"/>
      <c r="X25" s="2102"/>
      <c r="Y25" s="2102"/>
      <c r="Z25" s="2102"/>
      <c r="AA25" s="2102"/>
      <c r="AB25" s="2102"/>
      <c r="AC25" s="2102"/>
      <c r="AD25" s="2102"/>
      <c r="AE25" s="2102"/>
      <c r="AF25" s="2102"/>
      <c r="AG25" s="2102"/>
      <c r="AH25" s="2102"/>
      <c r="AI25" s="1116"/>
    </row>
    <row r="26" spans="1:42" ht="14.25" hidden="1" customHeight="1">
      <c r="Q26" s="304"/>
      <c r="R26" s="304"/>
      <c r="S26" s="1158"/>
      <c r="T26" s="289"/>
      <c r="U26" s="289"/>
      <c r="V26" s="248"/>
      <c r="W26" s="248"/>
      <c r="X26" s="248"/>
      <c r="Y26" s="248"/>
      <c r="Z26" s="248"/>
      <c r="AA26" s="248"/>
      <c r="AB26" s="248"/>
      <c r="AC26" s="248"/>
      <c r="AD26" s="248"/>
      <c r="AE26" s="248"/>
      <c r="AF26" s="248"/>
      <c r="AG26" s="248"/>
      <c r="AH26" s="248"/>
      <c r="AI26" s="248"/>
      <c r="AJ26" s="437"/>
    </row>
    <row r="27" spans="1:42" s="1950" customFormat="1" ht="25.5" hidden="1" customHeight="1">
      <c r="A27" s="1249"/>
      <c r="B27" s="1249"/>
      <c r="C27" s="1249"/>
      <c r="D27" s="1249"/>
      <c r="E27" s="1249"/>
      <c r="F27" s="1249"/>
      <c r="G27" s="1249"/>
      <c r="H27" s="1249"/>
      <c r="I27" s="1249"/>
      <c r="J27" s="1249"/>
      <c r="K27" s="1249"/>
      <c r="L27" s="1250"/>
      <c r="M27" s="1249"/>
      <c r="N27" s="1249"/>
      <c r="O27" s="1249"/>
      <c r="S27" s="2227" t="s">
        <v>38</v>
      </c>
      <c r="T27" s="2227"/>
      <c r="U27" s="1253"/>
      <c r="V27" s="2228" t="str">
        <f>IF(TITLE_NAME_OR_PR_CHANGE="",IF(TITLE_NAME_OR_PR="","",TITLE_NAME_OR_PR),TITLE_NAME_OR_PR_CHANGE)</f>
        <v/>
      </c>
      <c r="W27" s="2228"/>
      <c r="X27" s="2228"/>
      <c r="Y27" s="2228"/>
      <c r="Z27" s="2228"/>
      <c r="AA27" s="2228"/>
      <c r="AB27" s="253"/>
      <c r="AC27" s="2228" t="str">
        <f>IF(TITLE_NAME_OR_PR_CHANGE="",IF(TITLE_NAME_OR_PR="","",TITLE_NAME_OR_PR),TITLE_NAME_OR_PR_CHANGE)</f>
        <v/>
      </c>
      <c r="AD27" s="2228"/>
      <c r="AE27" s="2228"/>
      <c r="AF27" s="2228"/>
      <c r="AG27" s="2228"/>
      <c r="AH27" s="2228"/>
      <c r="AI27" s="253"/>
      <c r="AJ27" s="253"/>
      <c r="AK27" s="199"/>
      <c r="AL27" s="295"/>
      <c r="AM27" s="295"/>
      <c r="AN27" s="295"/>
      <c r="AO27" s="295"/>
      <c r="AP27" s="295"/>
    </row>
    <row r="28" spans="1:42" s="1950" customFormat="1" ht="18.75" hidden="1" customHeight="1">
      <c r="A28" s="1249"/>
      <c r="B28" s="1249"/>
      <c r="C28" s="1249"/>
      <c r="D28" s="1249"/>
      <c r="E28" s="1249"/>
      <c r="F28" s="1249"/>
      <c r="G28" s="1249"/>
      <c r="H28" s="1249"/>
      <c r="I28" s="1249"/>
      <c r="J28" s="1249"/>
      <c r="K28" s="1249"/>
      <c r="L28" s="1250"/>
      <c r="M28" s="1249"/>
      <c r="N28" s="1249"/>
      <c r="O28" s="1249"/>
      <c r="S28" s="2227" t="s">
        <v>1484</v>
      </c>
      <c r="T28" s="2227"/>
      <c r="U28" s="1253"/>
      <c r="V28" s="2228" t="str">
        <f>IF(TITLE_DATE_CHANGE_PERIOD="",IF(TITLE_DATE_PR="","",TITLE_DATE_PR),TITLE_DATE_CHANGE_PERIOD)</f>
        <v/>
      </c>
      <c r="W28" s="2228"/>
      <c r="X28" s="2228"/>
      <c r="Y28" s="2228"/>
      <c r="Z28" s="2228"/>
      <c r="AA28" s="2228"/>
      <c r="AB28" s="253"/>
      <c r="AC28" s="2228" t="str">
        <f>IF(TITLE_DATE_CHANGE_PERIOD="",IF(TITLE_DATE_PR="","",TITLE_DATE_PR),TITLE_DATE_CHANGE_PERIOD)</f>
        <v/>
      </c>
      <c r="AD28" s="2228"/>
      <c r="AE28" s="2228"/>
      <c r="AF28" s="2228"/>
      <c r="AG28" s="2228"/>
      <c r="AH28" s="2228"/>
      <c r="AI28" s="253"/>
      <c r="AJ28" s="253"/>
      <c r="AK28" s="199"/>
      <c r="AL28" s="295"/>
      <c r="AM28" s="295"/>
      <c r="AN28" s="295"/>
      <c r="AO28" s="295"/>
      <c r="AP28" s="295"/>
    </row>
    <row r="29" spans="1:42" s="1950" customFormat="1" ht="18.75" hidden="1" customHeight="1">
      <c r="A29" s="1249"/>
      <c r="B29" s="1249"/>
      <c r="C29" s="1249"/>
      <c r="D29" s="1249"/>
      <c r="E29" s="1249"/>
      <c r="F29" s="1249"/>
      <c r="G29" s="1249"/>
      <c r="H29" s="1249"/>
      <c r="I29" s="1249"/>
      <c r="J29" s="1249"/>
      <c r="K29" s="1249"/>
      <c r="L29" s="1250"/>
      <c r="M29" s="1249"/>
      <c r="N29" s="1249"/>
      <c r="O29" s="1249"/>
      <c r="S29" s="2227" t="s">
        <v>1485</v>
      </c>
      <c r="T29" s="2227"/>
      <c r="U29" s="1253"/>
      <c r="V29" s="2228" t="str">
        <f>IF(TITLE_NUMBER_PR_CHANGE="",IF(TITLE_NUMBER_PR="","",TITLE_NUMBER_PR),TITLE_NUMBER_PR_CHANGE)</f>
        <v/>
      </c>
      <c r="W29" s="2228"/>
      <c r="X29" s="2228"/>
      <c r="Y29" s="2228"/>
      <c r="Z29" s="2228"/>
      <c r="AA29" s="2228"/>
      <c r="AB29" s="253"/>
      <c r="AC29" s="2228" t="str">
        <f>IF(TITLE_NUMBER_PR_CHANGE="",IF(TITLE_NUMBER_PR="","",TITLE_NUMBER_PR),TITLE_NUMBER_PR_CHANGE)</f>
        <v/>
      </c>
      <c r="AD29" s="2228"/>
      <c r="AE29" s="2228"/>
      <c r="AF29" s="2228"/>
      <c r="AG29" s="2228"/>
      <c r="AH29" s="2228"/>
      <c r="AI29" s="253"/>
      <c r="AJ29" s="253"/>
      <c r="AK29" s="199"/>
      <c r="AL29" s="295"/>
      <c r="AM29" s="295"/>
      <c r="AN29" s="295"/>
      <c r="AO29" s="295"/>
      <c r="AP29" s="295"/>
    </row>
    <row r="30" spans="1:42" s="1950" customFormat="1" ht="18.75" hidden="1" customHeight="1">
      <c r="A30" s="1249"/>
      <c r="B30" s="1249"/>
      <c r="C30" s="1249"/>
      <c r="D30" s="1249"/>
      <c r="E30" s="1249"/>
      <c r="F30" s="1249"/>
      <c r="G30" s="1249"/>
      <c r="H30" s="1249"/>
      <c r="I30" s="1249"/>
      <c r="J30" s="1249"/>
      <c r="K30" s="1249"/>
      <c r="L30" s="1250"/>
      <c r="M30" s="1249"/>
      <c r="N30" s="1249"/>
      <c r="O30" s="1249"/>
      <c r="S30" s="2227" t="s">
        <v>39</v>
      </c>
      <c r="T30" s="2227"/>
      <c r="U30" s="1253"/>
      <c r="V30" s="2228" t="str">
        <f>IF(TITLE_IST_PUB_CHANGE="",IF(TITLE_IST_PUB="","",TITLE_IST_PUB),TITLE_IST_PUB_CHANGE)</f>
        <v/>
      </c>
      <c r="W30" s="2228"/>
      <c r="X30" s="2228"/>
      <c r="Y30" s="2228"/>
      <c r="Z30" s="2228"/>
      <c r="AA30" s="2228"/>
      <c r="AB30" s="253"/>
      <c r="AC30" s="2228" t="str">
        <f>IF(TITLE_IST_PUB_CHANGE="",IF(TITLE_IST_PUB="","",TITLE_IST_PUB),TITLE_IST_PUB_CHANGE)</f>
        <v/>
      </c>
      <c r="AD30" s="2228"/>
      <c r="AE30" s="2228"/>
      <c r="AF30" s="2228"/>
      <c r="AG30" s="2228"/>
      <c r="AH30" s="2228"/>
      <c r="AI30" s="253"/>
      <c r="AJ30" s="253"/>
      <c r="AK30" s="199"/>
      <c r="AL30" s="295"/>
      <c r="AM30" s="295"/>
      <c r="AN30" s="295"/>
      <c r="AO30" s="295"/>
      <c r="AP30" s="295"/>
    </row>
    <row r="31" spans="1:42" ht="14.25" hidden="1" customHeight="1">
      <c r="Q31" s="304"/>
      <c r="R31" s="304"/>
      <c r="S31" s="1158"/>
      <c r="T31" s="289"/>
      <c r="U31" s="289"/>
      <c r="V31" s="248"/>
      <c r="W31" s="248"/>
      <c r="X31" s="248"/>
      <c r="Y31" s="248"/>
      <c r="Z31" s="248"/>
      <c r="AA31" s="248"/>
      <c r="AB31" s="248"/>
      <c r="AC31" s="248"/>
      <c r="AD31" s="248"/>
      <c r="AE31" s="248"/>
      <c r="AF31" s="248"/>
      <c r="AG31" s="248"/>
      <c r="AH31" s="248"/>
      <c r="AI31" s="248"/>
      <c r="AJ31" s="437"/>
    </row>
    <row r="32" spans="1:42" s="1950" customFormat="1" ht="18.75" hidden="1" customHeight="1">
      <c r="A32" s="1249"/>
      <c r="B32" s="1249"/>
      <c r="C32" s="1249"/>
      <c r="D32" s="1249"/>
      <c r="E32" s="1249"/>
      <c r="F32" s="1249"/>
      <c r="G32" s="1249"/>
      <c r="H32" s="1249"/>
      <c r="I32" s="1249"/>
      <c r="J32" s="1249"/>
      <c r="K32" s="1249"/>
      <c r="L32" s="1250"/>
      <c r="M32" s="1249"/>
      <c r="N32" s="1249"/>
      <c r="O32" s="1249"/>
      <c r="S32" s="2227" t="s">
        <v>1486</v>
      </c>
      <c r="T32" s="2227"/>
      <c r="U32" s="1253"/>
      <c r="V32" s="2228" t="str">
        <f>IF(TITLE_DATE_CHANGE_PERIOD="",IF(TITLE_DATE_PR="","",TITLE_DATE_PR),TITLE_DATE_CHANGE_PERIOD)</f>
        <v/>
      </c>
      <c r="W32" s="2228"/>
      <c r="X32" s="2228"/>
      <c r="Y32" s="2228"/>
      <c r="Z32" s="2228"/>
      <c r="AA32" s="2228"/>
      <c r="AB32" s="253"/>
      <c r="AC32" s="2228" t="str">
        <f>IF(TITLE_DATE_CHANGE_PERIOD="",IF(TITLE_DATE_PR="","",TITLE_DATE_PR),TITLE_DATE_CHANGE_PERIOD)</f>
        <v/>
      </c>
      <c r="AD32" s="2228"/>
      <c r="AE32" s="2228"/>
      <c r="AF32" s="2228"/>
      <c r="AG32" s="2228"/>
      <c r="AH32" s="2228"/>
      <c r="AI32" s="253"/>
      <c r="AJ32" s="253"/>
      <c r="AK32" s="199"/>
      <c r="AL32" s="295"/>
      <c r="AM32" s="295"/>
      <c r="AN32" s="295"/>
      <c r="AO32" s="295"/>
      <c r="AP32" s="295"/>
    </row>
    <row r="33" spans="1:42" s="1950" customFormat="1" ht="18.75" hidden="1" customHeight="1">
      <c r="A33" s="1249"/>
      <c r="B33" s="1249"/>
      <c r="C33" s="1249"/>
      <c r="D33" s="1249"/>
      <c r="E33" s="1249"/>
      <c r="F33" s="1249"/>
      <c r="G33" s="1249"/>
      <c r="H33" s="1249"/>
      <c r="I33" s="1249"/>
      <c r="J33" s="1249"/>
      <c r="K33" s="1249"/>
      <c r="L33" s="1250"/>
      <c r="M33" s="1249"/>
      <c r="N33" s="1249"/>
      <c r="O33" s="1249"/>
      <c r="S33" s="2227" t="s">
        <v>1487</v>
      </c>
      <c r="T33" s="2227"/>
      <c r="U33" s="1253"/>
      <c r="V33" s="2228" t="str">
        <f>IF(TITLE_NUMBER_PR_CHANGE="",IF(TITLE_NUMBER_PR="","",TITLE_NUMBER_PR),TITLE_NUMBER_PR_CHANGE)</f>
        <v/>
      </c>
      <c r="W33" s="2228"/>
      <c r="X33" s="2228"/>
      <c r="Y33" s="2228"/>
      <c r="Z33" s="2228"/>
      <c r="AA33" s="2228"/>
      <c r="AB33" s="253"/>
      <c r="AC33" s="2228" t="str">
        <f>IF(TITLE_NUMBER_PR_CHANGE="",IF(TITLE_NUMBER_PR="","",TITLE_NUMBER_PR),TITLE_NUMBER_PR_CHANGE)</f>
        <v/>
      </c>
      <c r="AD33" s="2228"/>
      <c r="AE33" s="2228"/>
      <c r="AF33" s="2228"/>
      <c r="AG33" s="2228"/>
      <c r="AH33" s="2228"/>
      <c r="AI33" s="253"/>
      <c r="AJ33" s="253"/>
      <c r="AK33" s="199"/>
      <c r="AL33" s="295"/>
      <c r="AM33" s="295"/>
      <c r="AN33" s="295"/>
      <c r="AO33" s="295"/>
      <c r="AP33" s="295"/>
    </row>
    <row r="34" spans="1:42" s="1950" customFormat="1" ht="0.75" customHeight="1">
      <c r="A34" s="1249"/>
      <c r="B34" s="1249"/>
      <c r="C34" s="1249"/>
      <c r="D34" s="1249"/>
      <c r="E34" s="1249"/>
      <c r="F34" s="1249"/>
      <c r="G34" s="1249"/>
      <c r="H34" s="1249"/>
      <c r="I34" s="1249"/>
      <c r="J34" s="1249"/>
      <c r="K34" s="1249"/>
      <c r="L34" s="1250"/>
      <c r="M34" s="1249"/>
      <c r="N34" s="1249"/>
      <c r="O34" s="1249"/>
      <c r="S34" s="250"/>
      <c r="T34" s="250"/>
      <c r="U34" s="1350"/>
      <c r="V34" s="253"/>
      <c r="W34" s="253"/>
      <c r="X34" s="253"/>
      <c r="Y34" s="253"/>
      <c r="Z34" s="253"/>
      <c r="AA34" s="253"/>
      <c r="AB34" s="197" t="s">
        <v>1488</v>
      </c>
      <c r="AC34" s="253"/>
      <c r="AD34" s="253"/>
      <c r="AE34" s="253"/>
      <c r="AF34" s="253"/>
      <c r="AG34" s="253"/>
      <c r="AH34" s="253"/>
      <c r="AI34" s="197" t="s">
        <v>1488</v>
      </c>
      <c r="AL34" s="295"/>
      <c r="AM34" s="295"/>
      <c r="AN34" s="295"/>
      <c r="AO34" s="295"/>
      <c r="AP34" s="295"/>
    </row>
    <row r="35" spans="1:42" ht="14.25" customHeight="1">
      <c r="Q35" s="304"/>
      <c r="R35" s="304"/>
      <c r="S35" s="1158"/>
      <c r="T35" s="289"/>
      <c r="U35" s="1117"/>
      <c r="V35" s="2246"/>
      <c r="W35" s="2246"/>
      <c r="X35" s="2246"/>
      <c r="Y35" s="2246"/>
      <c r="Z35" s="2246"/>
      <c r="AA35" s="2246"/>
      <c r="AB35" s="2246"/>
      <c r="AC35" s="2246"/>
      <c r="AD35" s="2246"/>
      <c r="AE35" s="2246"/>
      <c r="AF35" s="2246"/>
      <c r="AG35" s="2246"/>
      <c r="AH35" s="2246"/>
      <c r="AI35" s="2246"/>
    </row>
    <row r="36" spans="1:42" ht="14.25" customHeight="1">
      <c r="Q36" s="304"/>
      <c r="R36" s="304"/>
      <c r="S36" s="2021" t="s">
        <v>292</v>
      </c>
      <c r="T36" s="2021"/>
      <c r="U36" s="2021"/>
      <c r="V36" s="2021"/>
      <c r="W36" s="2021"/>
      <c r="X36" s="2021"/>
      <c r="Y36" s="2021"/>
      <c r="Z36" s="2021"/>
      <c r="AA36" s="2021"/>
      <c r="AB36" s="2021"/>
      <c r="AC36" s="2021"/>
      <c r="AD36" s="2021"/>
      <c r="AE36" s="2021"/>
      <c r="AF36" s="2021"/>
      <c r="AG36" s="2021"/>
      <c r="AH36" s="2021"/>
      <c r="AI36" s="2021"/>
      <c r="AJ36" s="2021"/>
      <c r="AK36" s="2021" t="s">
        <v>293</v>
      </c>
    </row>
    <row r="37" spans="1:42" ht="14.25" customHeight="1">
      <c r="Q37" s="304"/>
      <c r="R37" s="304"/>
      <c r="S37" s="2247" t="s">
        <v>88</v>
      </c>
      <c r="T37" s="2111" t="s">
        <v>1489</v>
      </c>
      <c r="U37" s="219"/>
      <c r="V37" s="2248" t="s">
        <v>1490</v>
      </c>
      <c r="W37" s="2249"/>
      <c r="X37" s="2249"/>
      <c r="Y37" s="2249"/>
      <c r="Z37" s="2249"/>
      <c r="AA37" s="2250"/>
      <c r="AB37" s="2251" t="s">
        <v>1491</v>
      </c>
      <c r="AC37" s="2248" t="s">
        <v>1490</v>
      </c>
      <c r="AD37" s="2249"/>
      <c r="AE37" s="2249"/>
      <c r="AF37" s="2249"/>
      <c r="AG37" s="2249"/>
      <c r="AH37" s="2250"/>
      <c r="AI37" s="2251" t="s">
        <v>1492</v>
      </c>
      <c r="AJ37" s="2254" t="s">
        <v>1493</v>
      </c>
      <c r="AK37" s="2021"/>
    </row>
    <row r="38" spans="1:42" ht="33.75" customHeight="1">
      <c r="Q38" s="304"/>
      <c r="R38" s="304"/>
      <c r="S38" s="2247"/>
      <c r="T38" s="2111"/>
      <c r="U38" s="924"/>
      <c r="V38" s="1345" t="s">
        <v>1684</v>
      </c>
      <c r="W38" s="2003" t="s">
        <v>1496</v>
      </c>
      <c r="X38" s="2002"/>
      <c r="Y38" s="2003" t="s">
        <v>1497</v>
      </c>
      <c r="Z38" s="2008"/>
      <c r="AA38" s="2002"/>
      <c r="AB38" s="2252"/>
      <c r="AC38" s="1345" t="s">
        <v>1684</v>
      </c>
      <c r="AD38" s="2003" t="s">
        <v>1496</v>
      </c>
      <c r="AE38" s="2002"/>
      <c r="AF38" s="2003" t="s">
        <v>1497</v>
      </c>
      <c r="AG38" s="2008"/>
      <c r="AH38" s="2002"/>
      <c r="AI38" s="2252"/>
      <c r="AJ38" s="2255"/>
      <c r="AK38" s="2021"/>
    </row>
    <row r="39" spans="1:42" ht="86.25" customHeight="1">
      <c r="A39" s="1251"/>
      <c r="B39" s="1251" t="s">
        <v>136</v>
      </c>
      <c r="C39" s="1251" t="s">
        <v>137</v>
      </c>
      <c r="D39" s="1251" t="s">
        <v>138</v>
      </c>
      <c r="E39" s="1245" t="s">
        <v>1498</v>
      </c>
      <c r="F39" s="1245" t="s">
        <v>1499</v>
      </c>
      <c r="G39" s="1245" t="s">
        <v>1500</v>
      </c>
      <c r="H39" s="1245"/>
      <c r="I39" s="1245" t="s">
        <v>1685</v>
      </c>
      <c r="J39" s="1245" t="s">
        <v>1503</v>
      </c>
      <c r="K39" s="1245" t="s">
        <v>1686</v>
      </c>
      <c r="L39" s="1245" t="s">
        <v>1479</v>
      </c>
      <c r="Q39" s="304"/>
      <c r="R39" s="304"/>
      <c r="S39" s="2247"/>
      <c r="T39" s="2111"/>
      <c r="U39" s="220"/>
      <c r="V39" s="1345" t="s">
        <v>2111</v>
      </c>
      <c r="W39" s="1092" t="s">
        <v>2112</v>
      </c>
      <c r="X39" s="1092" t="s">
        <v>1689</v>
      </c>
      <c r="Y39" s="1351" t="s">
        <v>1507</v>
      </c>
      <c r="Z39" s="2117" t="s">
        <v>1508</v>
      </c>
      <c r="AA39" s="2131"/>
      <c r="AB39" s="2253"/>
      <c r="AC39" s="1345" t="s">
        <v>2111</v>
      </c>
      <c r="AD39" s="1092" t="s">
        <v>2112</v>
      </c>
      <c r="AE39" s="1092" t="s">
        <v>1689</v>
      </c>
      <c r="AF39" s="1351" t="s">
        <v>1507</v>
      </c>
      <c r="AG39" s="2117" t="s">
        <v>1508</v>
      </c>
      <c r="AH39" s="2131"/>
      <c r="AI39" s="2253"/>
      <c r="AJ39" s="2256"/>
      <c r="AK39" s="2021"/>
    </row>
    <row r="40" spans="1:42" s="1720" customFormat="1" ht="11.25" hidden="1" customHeight="1">
      <c r="A40" s="1251"/>
      <c r="B40" s="1251"/>
      <c r="C40" s="1251"/>
      <c r="D40" s="1251"/>
      <c r="E40" s="1251"/>
      <c r="F40" s="1251"/>
      <c r="G40" s="1251"/>
      <c r="H40" s="1251"/>
      <c r="I40" s="1251"/>
      <c r="J40" s="1251"/>
      <c r="K40" s="1251"/>
      <c r="L40" s="1245"/>
      <c r="M40" s="1243"/>
      <c r="N40" s="1243"/>
      <c r="O40" s="1243"/>
      <c r="P40" s="1119"/>
      <c r="Q40" s="1120"/>
      <c r="R40" s="1135">
        <v>1</v>
      </c>
      <c r="S40" s="1160" t="s">
        <v>109</v>
      </c>
      <c r="T40" s="1136" t="s">
        <v>110</v>
      </c>
      <c r="U40" s="1118" t="str">
        <f ca="1">OFFSET(U40,0,-1)</f>
        <v>2</v>
      </c>
      <c r="V40" s="1344">
        <f ca="1">OFFSET(V40,0,-1)+1</f>
        <v>3</v>
      </c>
      <c r="W40" s="1344">
        <f ca="1">OFFSET(W40,0,-1)+1</f>
        <v>4</v>
      </c>
      <c r="X40" s="1344">
        <f ca="1">OFFSET(X40,0,-1)+1</f>
        <v>5</v>
      </c>
      <c r="Y40" s="1344">
        <f ca="1">OFFSET(Y40,0,-1)+1</f>
        <v>6</v>
      </c>
      <c r="Z40" s="2245">
        <f ca="1">OFFSET(Z40,0,-1)+1</f>
        <v>7</v>
      </c>
      <c r="AA40" s="2245"/>
      <c r="AB40" s="1344">
        <f ca="1">OFFSET(AB40,0,-2)+1</f>
        <v>8</v>
      </c>
      <c r="AC40" s="1344">
        <f ca="1">OFFSET(AC40,0,-1)+1</f>
        <v>9</v>
      </c>
      <c r="AD40" s="1344">
        <f ca="1">OFFSET(AD40,0,-1)+1</f>
        <v>10</v>
      </c>
      <c r="AE40" s="1344">
        <f ca="1">OFFSET(AE40,0,-1)+1</f>
        <v>11</v>
      </c>
      <c r="AF40" s="1344">
        <f ca="1">OFFSET(AF40,0,-1)+1</f>
        <v>12</v>
      </c>
      <c r="AG40" s="2245">
        <f ca="1">OFFSET(AG40,0,-1)+1</f>
        <v>13</v>
      </c>
      <c r="AH40" s="2245"/>
      <c r="AI40" s="1344">
        <f ca="1">OFFSET(AI40,0,-2)+1</f>
        <v>14</v>
      </c>
      <c r="AJ40" s="1118">
        <f ca="1">OFFSET(AJ40,0,-1)</f>
        <v>14</v>
      </c>
      <c r="AK40" s="1344">
        <f ca="1">OFFSET(AK40,0,-1)+1</f>
        <v>15</v>
      </c>
      <c r="AL40" s="439"/>
      <c r="AM40" s="439"/>
      <c r="AN40" s="439"/>
      <c r="AO40" s="439"/>
      <c r="AP40" s="439"/>
    </row>
    <row r="41" spans="1:42" ht="23.25" customHeight="1">
      <c r="A41" s="1244" t="s">
        <v>258</v>
      </c>
      <c r="B41" s="1244"/>
      <c r="C41" s="1244"/>
      <c r="D41" s="1244"/>
      <c r="E41" s="2235">
        <v>1</v>
      </c>
      <c r="F41" s="1244"/>
      <c r="G41" s="1244"/>
      <c r="H41" s="1244"/>
      <c r="I41" s="1244"/>
      <c r="J41" s="1244"/>
      <c r="K41" s="1244"/>
      <c r="L41" s="1245"/>
      <c r="M41" s="1246"/>
      <c r="N41" s="1246"/>
      <c r="O41" s="1246"/>
      <c r="P41" s="285"/>
      <c r="Q41" s="284"/>
      <c r="R41" s="279"/>
      <c r="S41" s="1355">
        <f>INDEX(PT_DIFFERENTIATION_NUM_NTAR,MATCH(A41,PT_DIFFERENTIATION_NTAR_ID,0))</f>
        <v>0</v>
      </c>
      <c r="T41" s="216" t="s">
        <v>124</v>
      </c>
      <c r="U41" s="218"/>
      <c r="V41" s="2229"/>
      <c r="W41" s="2230"/>
      <c r="X41" s="2230"/>
      <c r="Y41" s="2230"/>
      <c r="Z41" s="2230"/>
      <c r="AA41" s="2230"/>
      <c r="AB41" s="2231"/>
      <c r="AC41" s="2229" t="str">
        <f>INDEX(PT_DIFFERENTIATION_NTAR,MATCH(A41,PT_DIFFERENTIATION_NTAR_ID,0))</f>
        <v/>
      </c>
      <c r="AD41" s="2230"/>
      <c r="AE41" s="2230"/>
      <c r="AF41" s="2230"/>
      <c r="AG41" s="2230"/>
      <c r="AH41" s="2230"/>
      <c r="AI41" s="2230"/>
      <c r="AJ41" s="2231"/>
      <c r="AK41" s="114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8"/>
      <c r="AN41" s="428" t="str">
        <f t="shared" ref="AN41:AN53" si="1">IF(T41="","",T41)</f>
        <v>Наименование тарифа</v>
      </c>
      <c r="AO41" s="428"/>
      <c r="AP41" s="428"/>
    </row>
    <row r="42" spans="1:42" ht="23.25" customHeight="1">
      <c r="A42" s="1244" t="s">
        <v>258</v>
      </c>
      <c r="B42" s="1244" t="s">
        <v>259</v>
      </c>
      <c r="C42" s="1244"/>
      <c r="D42" s="1244"/>
      <c r="E42" s="2236"/>
      <c r="F42" s="2235">
        <v>1</v>
      </c>
      <c r="G42" s="1244"/>
      <c r="H42" s="1244"/>
      <c r="I42" s="1244"/>
      <c r="J42" s="1244"/>
      <c r="K42" s="1244"/>
      <c r="L42" s="1245"/>
      <c r="M42" s="1246"/>
      <c r="N42" s="1246"/>
      <c r="O42" s="1246"/>
      <c r="P42" s="1349"/>
      <c r="Q42" s="276"/>
      <c r="R42" s="277"/>
      <c r="S42" s="1355" t="str">
        <f>INDEX(PT_DIFFERENTIATION_NUM_TER,MATCH(B42,PT_DIFFERENTIATION_TER_ID,0))</f>
        <v>.</v>
      </c>
      <c r="T42" s="228" t="s">
        <v>1461</v>
      </c>
      <c r="U42" s="218"/>
      <c r="V42" s="2229"/>
      <c r="W42" s="2230"/>
      <c r="X42" s="2230"/>
      <c r="Y42" s="2230"/>
      <c r="Z42" s="2230"/>
      <c r="AA42" s="2230"/>
      <c r="AB42" s="2231"/>
      <c r="AC42" s="2229" t="str">
        <f>INDEX(PT_DIFFERENTIATION_TER,MATCH(B42,PT_DIFFERENTIATION_TER_ID,0))</f>
        <v/>
      </c>
      <c r="AD42" s="2230"/>
      <c r="AE42" s="2230"/>
      <c r="AF42" s="2230"/>
      <c r="AG42" s="2230"/>
      <c r="AH42" s="2230"/>
      <c r="AI42" s="2230"/>
      <c r="AJ42" s="2231"/>
      <c r="AK42" s="1140" t="s">
        <v>1462</v>
      </c>
      <c r="AM42" s="428"/>
      <c r="AN42" s="428" t="str">
        <f t="shared" si="1"/>
        <v>Территория действия тарифа</v>
      </c>
      <c r="AO42" s="428"/>
      <c r="AP42" s="428"/>
    </row>
    <row r="43" spans="1:42" ht="23.25" customHeight="1">
      <c r="A43" s="1244" t="s">
        <v>258</v>
      </c>
      <c r="B43" s="1244" t="s">
        <v>259</v>
      </c>
      <c r="C43" s="1244" t="s">
        <v>260</v>
      </c>
      <c r="D43" s="1244"/>
      <c r="E43" s="2236"/>
      <c r="F43" s="2236"/>
      <c r="G43" s="2235">
        <v>1</v>
      </c>
      <c r="H43" s="1244"/>
      <c r="I43" s="1244"/>
      <c r="J43" s="1244"/>
      <c r="K43" s="1244"/>
      <c r="L43" s="1245"/>
      <c r="M43" s="1246"/>
      <c r="N43" s="1246"/>
      <c r="O43" s="1246"/>
      <c r="P43" s="278"/>
      <c r="Q43" s="276"/>
      <c r="R43" s="277"/>
      <c r="S43" s="1355" t="str">
        <f>INDEX(PT_DIFFERENTIATION_NUM_CS,MATCH(C43,PT_DIFFERENTIATION_CS_ID,0))</f>
        <v>..</v>
      </c>
      <c r="T43" s="229" t="s">
        <v>2109</v>
      </c>
      <c r="U43" s="218"/>
      <c r="V43" s="2229"/>
      <c r="W43" s="2230"/>
      <c r="X43" s="2230"/>
      <c r="Y43" s="2230"/>
      <c r="Z43" s="2230"/>
      <c r="AA43" s="2230"/>
      <c r="AB43" s="2231"/>
      <c r="AC43" s="2229" t="str">
        <f>INDEX(PT_DIFFERENTIATION_CS,MATCH(C43,PT_DIFFERENTIATION_CS_ID,0))</f>
        <v/>
      </c>
      <c r="AD43" s="2230"/>
      <c r="AE43" s="2230"/>
      <c r="AF43" s="2230"/>
      <c r="AG43" s="2230"/>
      <c r="AH43" s="2230"/>
      <c r="AI43" s="2230"/>
      <c r="AJ43" s="2231"/>
      <c r="AK43" s="1140" t="s">
        <v>2110</v>
      </c>
      <c r="AM43" s="428"/>
      <c r="AN43" s="428" t="str">
        <f t="shared" si="1"/>
        <v>Наименование централизованной системы водоотведения</v>
      </c>
      <c r="AO43" s="428"/>
      <c r="AP43" s="428"/>
    </row>
    <row r="44" spans="1:42" ht="23.25" customHeight="1">
      <c r="A44" s="1244" t="s">
        <v>258</v>
      </c>
      <c r="B44" s="1244" t="s">
        <v>259</v>
      </c>
      <c r="C44" s="1244" t="s">
        <v>260</v>
      </c>
      <c r="D44" s="1244" t="s">
        <v>2113</v>
      </c>
      <c r="E44" s="2236"/>
      <c r="F44" s="2236"/>
      <c r="G44" s="2236"/>
      <c r="H44" s="2236"/>
      <c r="I44" s="2237" t="str">
        <f>S43&amp;".1"</f>
        <v>...1</v>
      </c>
      <c r="J44" s="1244"/>
      <c r="K44" s="1244"/>
      <c r="L44" s="1245"/>
      <c r="P44" s="2157">
        <v>1</v>
      </c>
      <c r="Q44" s="1343"/>
      <c r="R44" s="280"/>
      <c r="S44" s="1355" t="str">
        <f>$I44</f>
        <v>...1</v>
      </c>
      <c r="T44" s="203" t="s">
        <v>1678</v>
      </c>
      <c r="U44" s="218"/>
      <c r="V44" s="2327"/>
      <c r="W44" s="2328"/>
      <c r="X44" s="2328"/>
      <c r="Y44" s="2328"/>
      <c r="Z44" s="2328"/>
      <c r="AA44" s="2328"/>
      <c r="AB44" s="2329"/>
      <c r="AC44" s="2330"/>
      <c r="AD44" s="2331"/>
      <c r="AE44" s="2331"/>
      <c r="AF44" s="2331"/>
      <c r="AG44" s="2331"/>
      <c r="AH44" s="2331"/>
      <c r="AI44" s="2331"/>
      <c r="AJ44" s="2332"/>
      <c r="AK44" s="1140" t="s">
        <v>1679</v>
      </c>
      <c r="AM44" s="428"/>
      <c r="AN44" s="428" t="str">
        <f t="shared" si="1"/>
        <v>Наименование признака дифференциации</v>
      </c>
      <c r="AO44" s="428"/>
      <c r="AP44" s="428"/>
    </row>
    <row r="45" spans="1:42" ht="23.25" customHeight="1">
      <c r="A45" s="1244" t="s">
        <v>258</v>
      </c>
      <c r="B45" s="1244" t="s">
        <v>259</v>
      </c>
      <c r="C45" s="1244" t="s">
        <v>260</v>
      </c>
      <c r="D45" s="1244" t="s">
        <v>2113</v>
      </c>
      <c r="E45" s="2236"/>
      <c r="F45" s="2236"/>
      <c r="G45" s="2236"/>
      <c r="H45" s="2236"/>
      <c r="I45" s="2238"/>
      <c r="J45" s="2237" t="str">
        <f>I44&amp;".1"</f>
        <v>...1.1</v>
      </c>
      <c r="K45" s="1244"/>
      <c r="L45" s="1245" t="s">
        <v>1470</v>
      </c>
      <c r="P45" s="2157"/>
      <c r="Q45" s="2157">
        <v>1</v>
      </c>
      <c r="R45" s="281"/>
      <c r="S45" s="1355" t="str">
        <f>$J45</f>
        <v>...1.1</v>
      </c>
      <c r="T45" s="204" t="s">
        <v>1471</v>
      </c>
      <c r="U45" s="218"/>
      <c r="V45" s="2224"/>
      <c r="W45" s="2225"/>
      <c r="X45" s="2225"/>
      <c r="Y45" s="2225"/>
      <c r="Z45" s="2225"/>
      <c r="AA45" s="2225"/>
      <c r="AB45" s="2226"/>
      <c r="AC45" s="2224"/>
      <c r="AD45" s="2225"/>
      <c r="AE45" s="2225"/>
      <c r="AF45" s="2225"/>
      <c r="AG45" s="2225"/>
      <c r="AH45" s="2225"/>
      <c r="AI45" s="2225"/>
      <c r="AJ45" s="2226"/>
      <c r="AK45" s="1194" t="s">
        <v>1680</v>
      </c>
      <c r="AM45" s="428"/>
      <c r="AN45" s="428" t="str">
        <f t="shared" si="1"/>
        <v>Группа потребителей</v>
      </c>
      <c r="AO45" s="428"/>
      <c r="AP45" s="428"/>
    </row>
    <row r="46" spans="1:42" ht="23.25" customHeight="1">
      <c r="A46" s="1244" t="s">
        <v>258</v>
      </c>
      <c r="B46" s="1244" t="s">
        <v>259</v>
      </c>
      <c r="C46" s="1244" t="s">
        <v>260</v>
      </c>
      <c r="D46" s="1244" t="s">
        <v>2113</v>
      </c>
      <c r="E46" s="2236"/>
      <c r="F46" s="2236"/>
      <c r="G46" s="2236"/>
      <c r="H46" s="2236"/>
      <c r="I46" s="2238"/>
      <c r="J46" s="2238"/>
      <c r="K46" s="2237" t="str">
        <f>J45&amp;".1"</f>
        <v>...1.1.1</v>
      </c>
      <c r="L46" s="1245"/>
      <c r="P46" s="2157"/>
      <c r="Q46" s="2157"/>
      <c r="R46" s="281">
        <v>1</v>
      </c>
      <c r="S46" s="1355" t="str">
        <f>$K46</f>
        <v>...1.1.1</v>
      </c>
      <c r="T46" s="1306"/>
      <c r="U46" s="218"/>
      <c r="V46" s="1671"/>
      <c r="W46" s="1671"/>
      <c r="X46" s="1672"/>
      <c r="Y46" s="2233"/>
      <c r="Z46" s="2232" t="s">
        <v>66</v>
      </c>
      <c r="AA46" s="2233"/>
      <c r="AB46" s="2232" t="s">
        <v>66</v>
      </c>
      <c r="AC46" s="1667"/>
      <c r="AD46" s="1667"/>
      <c r="AE46" s="1669"/>
      <c r="AF46" s="2239"/>
      <c r="AG46" s="2031" t="s">
        <v>66</v>
      </c>
      <c r="AH46" s="2241"/>
      <c r="AI46" s="2031" t="s">
        <v>56</v>
      </c>
      <c r="AJ46" s="1706"/>
      <c r="AK46" s="233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9" t="e">
        <f ca="1">STRCHECKDATE(V47:AJ47)</f>
        <v>#NAME?</v>
      </c>
      <c r="AM46" s="428"/>
      <c r="AN46" s="428" t="str">
        <f t="shared" si="1"/>
        <v/>
      </c>
      <c r="AO46" s="428"/>
      <c r="AP46" s="428"/>
    </row>
    <row r="47" spans="1:42" ht="0" hidden="1" customHeight="1">
      <c r="A47" s="1244" t="s">
        <v>258</v>
      </c>
      <c r="B47" s="1244" t="s">
        <v>259</v>
      </c>
      <c r="C47" s="1244" t="s">
        <v>260</v>
      </c>
      <c r="D47" s="1244" t="s">
        <v>2113</v>
      </c>
      <c r="E47" s="2236"/>
      <c r="F47" s="2236"/>
      <c r="G47" s="2236"/>
      <c r="H47" s="2236"/>
      <c r="I47" s="2238"/>
      <c r="J47" s="2238"/>
      <c r="K47" s="2237"/>
      <c r="L47" s="1245"/>
      <c r="P47" s="2157"/>
      <c r="Q47" s="2157"/>
      <c r="R47" s="281"/>
      <c r="S47" s="1352"/>
      <c r="T47" s="218"/>
      <c r="U47" s="218"/>
      <c r="V47" s="1671"/>
      <c r="W47" s="1671"/>
      <c r="X47" s="1670" t="str">
        <f>Y46&amp;"-"&amp;AA46</f>
        <v>-</v>
      </c>
      <c r="Y47" s="2232"/>
      <c r="Z47" s="2232"/>
      <c r="AA47" s="2232"/>
      <c r="AB47" s="2232"/>
      <c r="AC47" s="1668"/>
      <c r="AD47" s="1668"/>
      <c r="AE47" s="1670" t="str">
        <f>AF46&amp;"-"&amp;AH46</f>
        <v>-</v>
      </c>
      <c r="AF47" s="2240"/>
      <c r="AG47" s="2031"/>
      <c r="AH47" s="2242"/>
      <c r="AI47" s="2031"/>
      <c r="AJ47" s="1707"/>
      <c r="AK47" s="2333"/>
      <c r="AM47" s="428"/>
      <c r="AN47" s="428" t="str">
        <f t="shared" si="1"/>
        <v/>
      </c>
      <c r="AO47" s="428"/>
      <c r="AP47" s="428"/>
    </row>
    <row r="48" spans="1:42" ht="21" customHeight="1">
      <c r="A48" s="1244" t="s">
        <v>258</v>
      </c>
      <c r="B48" s="1244" t="s">
        <v>259</v>
      </c>
      <c r="C48" s="1244" t="s">
        <v>260</v>
      </c>
      <c r="D48" s="1244" t="s">
        <v>2113</v>
      </c>
      <c r="E48" s="2236"/>
      <c r="F48" s="2236"/>
      <c r="G48" s="2236"/>
      <c r="H48" s="2236"/>
      <c r="I48" s="2238"/>
      <c r="J48" s="2237"/>
      <c r="K48" s="1244"/>
      <c r="L48" s="1245"/>
      <c r="P48" s="2157"/>
      <c r="Q48" s="2157"/>
      <c r="R48" s="280"/>
      <c r="S48" s="1161"/>
      <c r="T48" s="205" t="s">
        <v>1681</v>
      </c>
      <c r="U48" s="294"/>
      <c r="V48" s="294"/>
      <c r="W48" s="294"/>
      <c r="X48" s="294"/>
      <c r="Y48" s="294"/>
      <c r="Z48" s="294"/>
      <c r="AA48" s="294"/>
      <c r="AB48" s="294"/>
      <c r="AC48" s="294"/>
      <c r="AD48" s="294"/>
      <c r="AE48" s="294"/>
      <c r="AF48" s="294"/>
      <c r="AG48" s="294"/>
      <c r="AH48" s="294"/>
      <c r="AI48" s="294"/>
      <c r="AJ48" s="294"/>
      <c r="AK48" s="1140" t="s">
        <v>1682</v>
      </c>
      <c r="AM48" s="428"/>
      <c r="AN48" s="428" t="str">
        <f t="shared" si="1"/>
        <v>Добавить значение признака дифференциации</v>
      </c>
      <c r="AO48" s="428"/>
      <c r="AP48" s="428"/>
    </row>
    <row r="49" spans="1:42" ht="21" customHeight="1">
      <c r="A49" s="1244" t="s">
        <v>258</v>
      </c>
      <c r="B49" s="1244" t="s">
        <v>259</v>
      </c>
      <c r="C49" s="1244" t="s">
        <v>260</v>
      </c>
      <c r="D49" s="1244" t="s">
        <v>2113</v>
      </c>
      <c r="E49" s="2236"/>
      <c r="F49" s="2236"/>
      <c r="G49" s="2236"/>
      <c r="H49" s="2236"/>
      <c r="I49" s="2237"/>
      <c r="J49" s="1244"/>
      <c r="K49" s="1244"/>
      <c r="L49" s="1245"/>
      <c r="P49" s="2157"/>
      <c r="Q49" s="1343"/>
      <c r="R49" s="280"/>
      <c r="S49" s="1161"/>
      <c r="T49" s="291" t="s">
        <v>1476</v>
      </c>
      <c r="U49" s="294"/>
      <c r="V49" s="294"/>
      <c r="W49" s="294"/>
      <c r="X49" s="294"/>
      <c r="Y49" s="294"/>
      <c r="Z49" s="294"/>
      <c r="AA49" s="294"/>
      <c r="AB49" s="293"/>
      <c r="AC49" s="294"/>
      <c r="AD49" s="294"/>
      <c r="AE49" s="294"/>
      <c r="AF49" s="294"/>
      <c r="AG49" s="294"/>
      <c r="AH49" s="294"/>
      <c r="AI49" s="293"/>
      <c r="AJ49" s="294"/>
      <c r="AK49" s="1307"/>
      <c r="AM49" s="428"/>
      <c r="AN49" s="428" t="str">
        <f t="shared" si="1"/>
        <v>Добавить группу потребителей</v>
      </c>
      <c r="AO49" s="428"/>
      <c r="AP49" s="428"/>
    </row>
    <row r="50" spans="1:42" ht="21" customHeight="1">
      <c r="A50" s="1244" t="s">
        <v>258</v>
      </c>
      <c r="B50" s="1244" t="s">
        <v>259</v>
      </c>
      <c r="C50" s="1244" t="s">
        <v>260</v>
      </c>
      <c r="D50" s="1244" t="s">
        <v>2113</v>
      </c>
      <c r="E50" s="2236"/>
      <c r="F50" s="2236"/>
      <c r="G50" s="2236"/>
      <c r="H50" s="2235"/>
      <c r="I50" s="1244"/>
      <c r="J50" s="1244"/>
      <c r="K50" s="1244"/>
      <c r="L50" s="1245"/>
      <c r="M50" s="1246"/>
      <c r="N50" s="1246"/>
      <c r="O50" s="464"/>
      <c r="P50" s="284"/>
      <c r="Q50" s="303"/>
      <c r="R50" s="279"/>
      <c r="S50" s="1161"/>
      <c r="T50" s="299" t="s">
        <v>1683</v>
      </c>
      <c r="U50" s="294"/>
      <c r="V50" s="294"/>
      <c r="W50" s="294"/>
      <c r="X50" s="294"/>
      <c r="Y50" s="294"/>
      <c r="Z50" s="294"/>
      <c r="AA50" s="294"/>
      <c r="AB50" s="293"/>
      <c r="AC50" s="294"/>
      <c r="AD50" s="294"/>
      <c r="AE50" s="294"/>
      <c r="AF50" s="294"/>
      <c r="AG50" s="294"/>
      <c r="AH50" s="294"/>
      <c r="AI50" s="293"/>
      <c r="AJ50" s="294"/>
      <c r="AK50" s="221"/>
      <c r="AM50" s="428"/>
      <c r="AN50" s="428" t="str">
        <f t="shared" si="1"/>
        <v>Добавить наименование признака дифференциации</v>
      </c>
      <c r="AO50" s="428"/>
      <c r="AP50" s="428"/>
    </row>
    <row r="51" spans="1:42" s="1772" customFormat="1" ht="0.75" customHeight="1">
      <c r="A51" s="1228" t="s">
        <v>258</v>
      </c>
      <c r="B51" s="1228" t="s">
        <v>259</v>
      </c>
      <c r="C51" s="1200"/>
      <c r="D51" s="1200"/>
      <c r="E51" s="2236"/>
      <c r="F51" s="2235"/>
      <c r="G51" s="1200"/>
      <c r="H51" s="1200"/>
      <c r="I51" s="1200"/>
      <c r="J51" s="1200"/>
      <c r="K51" s="1200"/>
      <c r="L51" s="1356"/>
      <c r="M51" s="1207"/>
      <c r="N51" s="1207"/>
      <c r="P51" s="1202"/>
      <c r="Q51" s="1203"/>
      <c r="R51" s="1202"/>
      <c r="S51" s="1208"/>
      <c r="T51" s="1211" t="s">
        <v>1437</v>
      </c>
      <c r="U51" s="1210"/>
      <c r="V51" s="1210"/>
      <c r="W51" s="1210"/>
      <c r="X51" s="1210"/>
      <c r="Y51" s="1210"/>
      <c r="Z51" s="1210"/>
      <c r="AA51" s="1210"/>
      <c r="AB51" s="1210"/>
      <c r="AC51" s="1210"/>
      <c r="AD51" s="1210"/>
      <c r="AE51" s="1210"/>
      <c r="AF51" s="1210"/>
      <c r="AG51" s="1210"/>
      <c r="AH51" s="1210"/>
      <c r="AI51" s="1210"/>
      <c r="AJ51" s="1210"/>
      <c r="AK51" s="1210"/>
      <c r="AM51" s="696"/>
      <c r="AN51" s="696" t="str">
        <f t="shared" si="1"/>
        <v>Добавить централизованную систему для дифференциации</v>
      </c>
      <c r="AO51" s="696"/>
      <c r="AP51" s="696"/>
    </row>
    <row r="52" spans="1:42" s="1772" customFormat="1" ht="0.75" customHeight="1">
      <c r="A52" s="1228" t="s">
        <v>258</v>
      </c>
      <c r="B52" s="1228"/>
      <c r="C52" s="1228"/>
      <c r="D52" s="1228"/>
      <c r="E52" s="2235"/>
      <c r="F52" s="1228"/>
      <c r="G52" s="1228"/>
      <c r="H52" s="1228"/>
      <c r="I52" s="1228"/>
      <c r="J52" s="1228"/>
      <c r="K52" s="1228"/>
      <c r="L52" s="1231"/>
      <c r="M52" s="1207"/>
      <c r="N52" s="1207"/>
      <c r="O52" s="446"/>
      <c r="P52" s="311"/>
      <c r="Q52" s="1229"/>
      <c r="R52" s="311"/>
      <c r="S52" s="1208"/>
      <c r="T52" s="1211" t="s">
        <v>1438</v>
      </c>
      <c r="U52" s="1210"/>
      <c r="V52" s="1210"/>
      <c r="W52" s="1210"/>
      <c r="X52" s="1210"/>
      <c r="Y52" s="1210"/>
      <c r="Z52" s="1210"/>
      <c r="AA52" s="1210"/>
      <c r="AB52" s="1210"/>
      <c r="AC52" s="1210"/>
      <c r="AD52" s="1210"/>
      <c r="AE52" s="1210"/>
      <c r="AF52" s="1210"/>
      <c r="AG52" s="1210"/>
      <c r="AH52" s="1210"/>
      <c r="AI52" s="1210"/>
      <c r="AJ52" s="1210"/>
      <c r="AK52" s="1210"/>
      <c r="AM52" s="428"/>
      <c r="AN52" s="428" t="str">
        <f t="shared" si="1"/>
        <v>Добавить территорию для дифференциации</v>
      </c>
      <c r="AO52" s="428"/>
      <c r="AP52" s="428"/>
    </row>
    <row r="53" spans="1:42" s="1772" customFormat="1" ht="0.75" customHeight="1">
      <c r="A53" s="1200"/>
      <c r="B53" s="1200"/>
      <c r="C53" s="1200"/>
      <c r="D53" s="1200"/>
      <c r="E53" s="1228"/>
      <c r="F53" s="1200"/>
      <c r="G53" s="1200"/>
      <c r="H53" s="1200"/>
      <c r="I53" s="1200"/>
      <c r="J53" s="1200"/>
      <c r="K53" s="1200"/>
      <c r="L53" s="1356"/>
      <c r="M53" s="1207"/>
      <c r="N53" s="1207"/>
      <c r="P53" s="1202"/>
      <c r="Q53" s="1203"/>
      <c r="R53" s="1202"/>
      <c r="S53" s="1208"/>
      <c r="T53" s="1211" t="s">
        <v>1439</v>
      </c>
      <c r="U53" s="1210"/>
      <c r="V53" s="1210"/>
      <c r="W53" s="1210"/>
      <c r="X53" s="1210"/>
      <c r="Y53" s="1210"/>
      <c r="Z53" s="1210"/>
      <c r="AA53" s="1210"/>
      <c r="AB53" s="1210"/>
      <c r="AC53" s="1210"/>
      <c r="AD53" s="1210"/>
      <c r="AE53" s="1210"/>
      <c r="AF53" s="1210"/>
      <c r="AG53" s="1210"/>
      <c r="AH53" s="1210"/>
      <c r="AI53" s="1210"/>
      <c r="AJ53" s="1210"/>
      <c r="AK53" s="1210"/>
      <c r="AM53" s="696"/>
      <c r="AN53" s="696" t="str">
        <f t="shared" si="1"/>
        <v>Добавить наименование тарифа</v>
      </c>
      <c r="AO53" s="696"/>
      <c r="AP53" s="696"/>
    </row>
    <row r="54" spans="1:42" ht="11.25" customHeight="1">
      <c r="M54" s="1036"/>
      <c r="N54" s="1036"/>
      <c r="O54" s="464"/>
      <c r="P54" s="1031"/>
      <c r="Q54" s="1031"/>
      <c r="R54" s="1031"/>
      <c r="S54" s="1031"/>
      <c r="AL54" s="1031"/>
      <c r="AM54" s="1031"/>
      <c r="AN54" s="1031"/>
      <c r="AO54" s="1031"/>
      <c r="AP54" s="1031"/>
    </row>
    <row r="55" spans="1:42" ht="14.25" customHeight="1">
      <c r="O55" s="464"/>
      <c r="S55" s="1128" t="s">
        <v>1509</v>
      </c>
      <c r="T55" s="2234" t="s">
        <v>2114</v>
      </c>
      <c r="U55" s="2234"/>
      <c r="V55" s="2234"/>
      <c r="W55" s="2234"/>
      <c r="X55" s="2234"/>
      <c r="Y55" s="2234"/>
      <c r="Z55" s="2234"/>
      <c r="AA55" s="2234"/>
      <c r="AB55" s="2234"/>
      <c r="AC55" s="2234"/>
      <c r="AD55" s="2234"/>
      <c r="AE55" s="2234"/>
      <c r="AF55" s="2234"/>
      <c r="AG55" s="2234"/>
      <c r="AH55" s="2234"/>
      <c r="AI55" s="2234"/>
      <c r="AJ55" s="2234"/>
      <c r="AK55" s="2234"/>
    </row>
    <row r="56" spans="1:42" ht="14.25" customHeight="1">
      <c r="O56" s="464"/>
    </row>
    <row r="57" spans="1:42" ht="14.25" customHeight="1">
      <c r="O57" s="464"/>
      <c r="S57" s="1128" t="s">
        <v>1509</v>
      </c>
      <c r="T57" s="2234" t="s">
        <v>2115</v>
      </c>
      <c r="U57" s="2234"/>
      <c r="V57" s="2234"/>
      <c r="W57" s="2234"/>
      <c r="X57" s="2234"/>
      <c r="Y57" s="2234"/>
      <c r="Z57" s="2234"/>
      <c r="AA57" s="2234"/>
      <c r="AB57" s="2234"/>
      <c r="AC57" s="2234"/>
      <c r="AD57" s="2234"/>
      <c r="AE57" s="2234"/>
      <c r="AF57" s="2234"/>
      <c r="AG57" s="2234"/>
      <c r="AH57" s="2234"/>
      <c r="AI57" s="2234"/>
      <c r="AJ57" s="2234"/>
      <c r="AK57" s="2234"/>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workbookViewId="0"/>
  </sheetViews>
  <sheetFormatPr defaultColWidth="10.5703125" defaultRowHeight="14.25" customHeight="1"/>
  <cols>
    <col min="1" max="1" width="10.5703125" style="1759" hidden="1"/>
    <col min="2" max="2" width="11" style="1759" hidden="1" customWidth="1"/>
    <col min="3" max="3" width="10.5703125" style="1759" hidden="1"/>
    <col min="4" max="4" width="11.85546875" style="1759" hidden="1" customWidth="1"/>
    <col min="5" max="5" width="10" style="1759" hidden="1" customWidth="1"/>
    <col min="6" max="6" width="8.7109375" style="1759" hidden="1" customWidth="1"/>
    <col min="7" max="7" width="7.5703125" style="1759" hidden="1" customWidth="1"/>
    <col min="8" max="8" width="11.42578125" style="1759" hidden="1" customWidth="1"/>
    <col min="9" max="9" width="14.140625" style="1759" hidden="1" customWidth="1"/>
    <col min="10" max="10" width="9.85546875" style="1759" hidden="1" customWidth="1"/>
    <col min="11" max="11" width="14.7109375" style="1759" hidden="1" customWidth="1"/>
    <col min="12" max="12" width="19.140625" style="1758" hidden="1" customWidth="1"/>
    <col min="13" max="14" width="12.28515625" style="1686" hidden="1" customWidth="1"/>
    <col min="15" max="15" width="23.42578125" style="1686" hidden="1" customWidth="1"/>
    <col min="16" max="16" width="3.7109375" style="1740" customWidth="1"/>
    <col min="17" max="18" width="3.7109375" style="1677" customWidth="1"/>
    <col min="19" max="19" width="12.7109375" style="1727" customWidth="1"/>
    <col min="20" max="20" width="35.7109375" style="1846" customWidth="1"/>
    <col min="21" max="21" width="0.140625" style="1846" customWidth="1"/>
    <col min="22" max="24" width="24.7109375" style="1846" hidden="1" customWidth="1"/>
    <col min="25" max="25" width="11.7109375" style="1846" hidden="1" customWidth="1"/>
    <col min="26" max="26" width="3.7109375" style="1846" hidden="1" customWidth="1"/>
    <col min="27" max="27" width="11.7109375" style="1846" hidden="1" customWidth="1"/>
    <col min="28" max="28" width="8.5703125" style="1846" hidden="1" customWidth="1"/>
    <col min="29" max="31" width="24.7109375" style="1846" customWidth="1"/>
    <col min="32" max="32" width="11.7109375" style="1846" customWidth="1"/>
    <col min="33" max="33" width="3.7109375" style="1846" customWidth="1"/>
    <col min="34" max="34" width="11.7109375" style="1846" customWidth="1"/>
    <col min="35" max="35" width="8.5703125" style="1846" hidden="1" customWidth="1"/>
    <col min="36" max="36" width="4.7109375" style="1846" customWidth="1"/>
    <col min="37" max="37" width="115.7109375" style="1846" customWidth="1"/>
    <col min="38" max="39" width="10.5703125" style="1772"/>
    <col min="40" max="40" width="11.140625" style="1772" customWidth="1"/>
    <col min="41" max="42" width="10.5703125" style="1772"/>
  </cols>
  <sheetData>
    <row r="1" spans="1:42" ht="14.25" hidden="1" customHeight="1">
      <c r="X1" s="254"/>
      <c r="Y1" s="254"/>
      <c r="AE1" s="254"/>
      <c r="AF1" s="254"/>
    </row>
    <row r="2" spans="1:42" ht="23.25" hidden="1" customHeight="1">
      <c r="A2" s="1244"/>
      <c r="B2" s="1244"/>
      <c r="C2" s="1244"/>
      <c r="D2" s="1244"/>
      <c r="E2" s="2235">
        <v>1</v>
      </c>
      <c r="F2" s="1244"/>
      <c r="G2" s="1244"/>
      <c r="H2" s="1244"/>
      <c r="I2" s="1244"/>
      <c r="J2" s="1244"/>
      <c r="K2" s="1244"/>
      <c r="L2" s="1245"/>
      <c r="M2" s="1246"/>
      <c r="N2" s="1246"/>
      <c r="O2" s="1246"/>
      <c r="P2" s="285"/>
      <c r="Q2" s="284"/>
      <c r="R2" s="279"/>
      <c r="S2" s="1355" t="e">
        <f>INDEX(PT_DIFFERENTIATION_NUM_NTAR,MATCH(A2,PT_DIFFERENTIATION_NTAR_ID,0))</f>
        <v>#N/A</v>
      </c>
      <c r="T2" s="216" t="s">
        <v>124</v>
      </c>
      <c r="U2" s="218"/>
      <c r="V2" s="2229"/>
      <c r="W2" s="2230"/>
      <c r="X2" s="2230"/>
      <c r="Y2" s="2230"/>
      <c r="Z2" s="2230"/>
      <c r="AA2" s="2230"/>
      <c r="AB2" s="2231"/>
      <c r="AC2" s="2229" t="e">
        <f>INDEX(PT_DIFFERENTIATION_NTAR,MATCH(A2,PT_DIFFERENTIATION_NTAR_ID,0))</f>
        <v>#N/A</v>
      </c>
      <c r="AD2" s="2230"/>
      <c r="AE2" s="2230"/>
      <c r="AF2" s="2230"/>
      <c r="AG2" s="2230"/>
      <c r="AH2" s="2230"/>
      <c r="AI2" s="2230"/>
      <c r="AJ2" s="2231"/>
      <c r="AK2" s="114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8"/>
      <c r="AN2" s="428" t="str">
        <f t="shared" ref="AN2:AN13" si="0">IF(T2="","",T2)</f>
        <v>Наименование тарифа</v>
      </c>
      <c r="AO2" s="428"/>
      <c r="AP2" s="428"/>
    </row>
    <row r="3" spans="1:42" ht="23.25" hidden="1" customHeight="1">
      <c r="A3" s="1244"/>
      <c r="B3" s="1244"/>
      <c r="C3" s="1244"/>
      <c r="D3" s="1244"/>
      <c r="E3" s="2236"/>
      <c r="F3" s="2235">
        <v>1</v>
      </c>
      <c r="G3" s="1244"/>
      <c r="H3" s="1244"/>
      <c r="I3" s="1244"/>
      <c r="J3" s="1244"/>
      <c r="K3" s="1244"/>
      <c r="L3" s="1245"/>
      <c r="M3" s="1246"/>
      <c r="N3" s="1246"/>
      <c r="O3" s="1246"/>
      <c r="P3" s="1349"/>
      <c r="Q3" s="276"/>
      <c r="R3" s="277"/>
      <c r="S3" s="1355" t="e">
        <f>INDEX(PT_DIFFERENTIATION_NUM_TER,MATCH(B3,PT_DIFFERENTIATION_TER_ID,0))</f>
        <v>#N/A</v>
      </c>
      <c r="T3" s="228" t="s">
        <v>1461</v>
      </c>
      <c r="U3" s="218"/>
      <c r="V3" s="2229"/>
      <c r="W3" s="2230"/>
      <c r="X3" s="2230"/>
      <c r="Y3" s="2230"/>
      <c r="Z3" s="2230"/>
      <c r="AA3" s="2230"/>
      <c r="AB3" s="2231"/>
      <c r="AC3" s="2229" t="e">
        <f>INDEX(PT_DIFFERENTIATION_TER,MATCH(B3,PT_DIFFERENTIATION_TER_ID,0))</f>
        <v>#N/A</v>
      </c>
      <c r="AD3" s="2230"/>
      <c r="AE3" s="2230"/>
      <c r="AF3" s="2230"/>
      <c r="AG3" s="2230"/>
      <c r="AH3" s="2230"/>
      <c r="AI3" s="2230"/>
      <c r="AJ3" s="2231"/>
      <c r="AK3" s="1140" t="s">
        <v>1462</v>
      </c>
      <c r="AM3" s="428"/>
      <c r="AN3" s="428" t="str">
        <f t="shared" si="0"/>
        <v>Территория действия тарифа</v>
      </c>
      <c r="AO3" s="428"/>
      <c r="AP3" s="428"/>
    </row>
    <row r="4" spans="1:42" ht="23.25" hidden="1" customHeight="1">
      <c r="A4" s="1244"/>
      <c r="B4" s="1244"/>
      <c r="C4" s="1244"/>
      <c r="D4" s="1244"/>
      <c r="E4" s="2236"/>
      <c r="F4" s="2236"/>
      <c r="G4" s="2235">
        <v>1</v>
      </c>
      <c r="H4" s="1244"/>
      <c r="I4" s="1244"/>
      <c r="J4" s="1244"/>
      <c r="K4" s="1244"/>
      <c r="L4" s="1245"/>
      <c r="M4" s="1246"/>
      <c r="N4" s="1246"/>
      <c r="O4" s="1246"/>
      <c r="P4" s="278"/>
      <c r="Q4" s="276"/>
      <c r="R4" s="277"/>
      <c r="S4" s="1355" t="e">
        <f>INDEX(PT_DIFFERENTIATION_NUM_CS,MATCH(C4,PT_DIFFERENTIATION_CS_ID,0))</f>
        <v>#N/A</v>
      </c>
      <c r="T4" s="229" t="s">
        <v>2109</v>
      </c>
      <c r="U4" s="218"/>
      <c r="V4" s="2229"/>
      <c r="W4" s="2230"/>
      <c r="X4" s="2230"/>
      <c r="Y4" s="2230"/>
      <c r="Z4" s="2230"/>
      <c r="AA4" s="2230"/>
      <c r="AB4" s="2231"/>
      <c r="AC4" s="2229" t="e">
        <f>INDEX(PT_DIFFERENTIATION_CS,MATCH(C4,PT_DIFFERENTIATION_CS_ID,0))</f>
        <v>#N/A</v>
      </c>
      <c r="AD4" s="2230"/>
      <c r="AE4" s="2230"/>
      <c r="AF4" s="2230"/>
      <c r="AG4" s="2230"/>
      <c r="AH4" s="2230"/>
      <c r="AI4" s="2230"/>
      <c r="AJ4" s="2231"/>
      <c r="AK4" s="1140" t="s">
        <v>2110</v>
      </c>
      <c r="AM4" s="428"/>
      <c r="AN4" s="428" t="str">
        <f t="shared" si="0"/>
        <v>Наименование централизованной системы водоотведения</v>
      </c>
      <c r="AO4" s="428"/>
      <c r="AP4" s="428"/>
    </row>
    <row r="5" spans="1:42" ht="23.25" hidden="1" customHeight="1">
      <c r="A5" s="1244"/>
      <c r="B5" s="1244"/>
      <c r="C5" s="1244"/>
      <c r="D5" s="1244"/>
      <c r="E5" s="2236"/>
      <c r="F5" s="2236"/>
      <c r="G5" s="2236"/>
      <c r="H5" s="2236"/>
      <c r="I5" s="2237" t="e">
        <f>S4&amp;".1"</f>
        <v>#N/A</v>
      </c>
      <c r="J5" s="1244"/>
      <c r="K5" s="1244"/>
      <c r="L5" s="1245"/>
      <c r="P5" s="2157">
        <v>1</v>
      </c>
      <c r="Q5" s="1343"/>
      <c r="R5" s="280"/>
      <c r="S5" s="1355" t="e">
        <f>$I5</f>
        <v>#N/A</v>
      </c>
      <c r="T5" s="203" t="s">
        <v>1678</v>
      </c>
      <c r="U5" s="218"/>
      <c r="V5" s="2327"/>
      <c r="W5" s="2328"/>
      <c r="X5" s="2328"/>
      <c r="Y5" s="2328"/>
      <c r="Z5" s="2328"/>
      <c r="AA5" s="2328"/>
      <c r="AB5" s="2329"/>
      <c r="AC5" s="2330"/>
      <c r="AD5" s="2331"/>
      <c r="AE5" s="2331"/>
      <c r="AF5" s="2331"/>
      <c r="AG5" s="2331"/>
      <c r="AH5" s="2331"/>
      <c r="AI5" s="2331"/>
      <c r="AJ5" s="2332"/>
      <c r="AK5" s="1140" t="s">
        <v>1679</v>
      </c>
      <c r="AM5" s="428"/>
      <c r="AN5" s="428" t="str">
        <f t="shared" si="0"/>
        <v>Наименование признака дифференциации</v>
      </c>
      <c r="AO5" s="428"/>
      <c r="AP5" s="428"/>
    </row>
    <row r="6" spans="1:42" ht="23.25" hidden="1" customHeight="1">
      <c r="A6" s="1244"/>
      <c r="B6" s="1244"/>
      <c r="C6" s="1244"/>
      <c r="D6" s="1244"/>
      <c r="E6" s="2236"/>
      <c r="F6" s="2236"/>
      <c r="G6" s="2236"/>
      <c r="H6" s="2236"/>
      <c r="I6" s="2238"/>
      <c r="J6" s="2237" t="e">
        <f>I5&amp;".1"</f>
        <v>#N/A</v>
      </c>
      <c r="K6" s="1244"/>
      <c r="L6" s="1245" t="s">
        <v>1470</v>
      </c>
      <c r="P6" s="2157"/>
      <c r="Q6" s="2157">
        <v>1</v>
      </c>
      <c r="R6" s="281"/>
      <c r="S6" s="1355" t="e">
        <f>$J6</f>
        <v>#N/A</v>
      </c>
      <c r="T6" s="204" t="s">
        <v>1471</v>
      </c>
      <c r="U6" s="218"/>
      <c r="V6" s="2224"/>
      <c r="W6" s="2225"/>
      <c r="X6" s="2225"/>
      <c r="Y6" s="2225"/>
      <c r="Z6" s="2225"/>
      <c r="AA6" s="2225"/>
      <c r="AB6" s="2226"/>
      <c r="AC6" s="2224"/>
      <c r="AD6" s="2225"/>
      <c r="AE6" s="2225"/>
      <c r="AF6" s="2225"/>
      <c r="AG6" s="2225"/>
      <c r="AH6" s="2225"/>
      <c r="AI6" s="2225"/>
      <c r="AJ6" s="2226"/>
      <c r="AK6" s="1194" t="s">
        <v>1680</v>
      </c>
      <c r="AM6" s="428"/>
      <c r="AN6" s="428" t="str">
        <f t="shared" si="0"/>
        <v>Группа потребителей</v>
      </c>
      <c r="AO6" s="428"/>
      <c r="AP6" s="428"/>
    </row>
    <row r="7" spans="1:42" ht="23.25" hidden="1" customHeight="1">
      <c r="A7" s="1244"/>
      <c r="B7" s="1244"/>
      <c r="C7" s="1244"/>
      <c r="D7" s="1244"/>
      <c r="E7" s="2236"/>
      <c r="F7" s="2236"/>
      <c r="G7" s="2236"/>
      <c r="H7" s="2236"/>
      <c r="I7" s="2238"/>
      <c r="J7" s="2238"/>
      <c r="K7" s="2237" t="e">
        <f>J6&amp;".1"</f>
        <v>#N/A</v>
      </c>
      <c r="L7" s="1245"/>
      <c r="P7" s="2157"/>
      <c r="Q7" s="2157"/>
      <c r="R7" s="281">
        <v>1</v>
      </c>
      <c r="S7" s="1355" t="e">
        <f>$K7</f>
        <v>#N/A</v>
      </c>
      <c r="T7" s="1306"/>
      <c r="U7" s="218"/>
      <c r="V7" s="1667"/>
      <c r="W7" s="1667"/>
      <c r="X7" s="1669"/>
      <c r="Y7" s="2239"/>
      <c r="Z7" s="2031" t="s">
        <v>66</v>
      </c>
      <c r="AA7" s="2239"/>
      <c r="AB7" s="2031" t="s">
        <v>66</v>
      </c>
      <c r="AC7" s="1667"/>
      <c r="AD7" s="1667"/>
      <c r="AE7" s="1669"/>
      <c r="AF7" s="2239"/>
      <c r="AG7" s="2031" t="s">
        <v>66</v>
      </c>
      <c r="AH7" s="2241"/>
      <c r="AI7" s="2031" t="s">
        <v>66</v>
      </c>
      <c r="AJ7" s="1706"/>
      <c r="AK7" s="233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9" t="e">
        <f ca="1">STRCHECKDATE(V8:AJ8)</f>
        <v>#NAME?</v>
      </c>
      <c r="AM7" s="428"/>
      <c r="AN7" s="428" t="str">
        <f t="shared" si="0"/>
        <v/>
      </c>
      <c r="AO7" s="428"/>
      <c r="AP7" s="428"/>
    </row>
    <row r="8" spans="1:42" ht="0.75" hidden="1" customHeight="1">
      <c r="A8" s="1244"/>
      <c r="B8" s="1244"/>
      <c r="C8" s="1244"/>
      <c r="D8" s="1244"/>
      <c r="E8" s="2236"/>
      <c r="F8" s="2236"/>
      <c r="G8" s="2236"/>
      <c r="H8" s="2236"/>
      <c r="I8" s="2238"/>
      <c r="J8" s="2238"/>
      <c r="K8" s="2237"/>
      <c r="L8" s="1245"/>
      <c r="P8" s="2157"/>
      <c r="Q8" s="2157"/>
      <c r="R8" s="281"/>
      <c r="S8" s="1352"/>
      <c r="T8" s="218"/>
      <c r="U8" s="218"/>
      <c r="V8" s="1668"/>
      <c r="W8" s="1668"/>
      <c r="X8" s="1670" t="str">
        <f>Y7&amp;"-"&amp;AA7</f>
        <v>-</v>
      </c>
      <c r="Y8" s="2240"/>
      <c r="Z8" s="2031"/>
      <c r="AA8" s="2240"/>
      <c r="AB8" s="2031"/>
      <c r="AC8" s="1668"/>
      <c r="AD8" s="1668"/>
      <c r="AE8" s="1670" t="str">
        <f>AF7&amp;"-"&amp;AH7</f>
        <v>-</v>
      </c>
      <c r="AF8" s="2240"/>
      <c r="AG8" s="2031"/>
      <c r="AH8" s="2242"/>
      <c r="AI8" s="2031"/>
      <c r="AJ8" s="1707"/>
      <c r="AK8" s="2333"/>
      <c r="AM8" s="428"/>
      <c r="AN8" s="428" t="str">
        <f t="shared" si="0"/>
        <v/>
      </c>
      <c r="AO8" s="428"/>
      <c r="AP8" s="428"/>
    </row>
    <row r="9" spans="1:42" ht="21" hidden="1" customHeight="1">
      <c r="A9" s="1244"/>
      <c r="B9" s="1244"/>
      <c r="C9" s="1244"/>
      <c r="D9" s="1244"/>
      <c r="E9" s="2236"/>
      <c r="F9" s="2236"/>
      <c r="G9" s="2236"/>
      <c r="H9" s="2236"/>
      <c r="I9" s="2238"/>
      <c r="J9" s="2237"/>
      <c r="K9" s="1244"/>
      <c r="L9" s="1245"/>
      <c r="P9" s="2157"/>
      <c r="Q9" s="2157"/>
      <c r="R9" s="280"/>
      <c r="S9" s="1161"/>
      <c r="T9" s="205" t="s">
        <v>1681</v>
      </c>
      <c r="U9" s="294"/>
      <c r="V9" s="294"/>
      <c r="W9" s="294"/>
      <c r="X9" s="294"/>
      <c r="Y9" s="294"/>
      <c r="Z9" s="294"/>
      <c r="AA9" s="294"/>
      <c r="AB9" s="294"/>
      <c r="AC9" s="294"/>
      <c r="AD9" s="294"/>
      <c r="AE9" s="294"/>
      <c r="AF9" s="294"/>
      <c r="AG9" s="294"/>
      <c r="AH9" s="294"/>
      <c r="AI9" s="294"/>
      <c r="AJ9" s="294"/>
      <c r="AK9" s="1140" t="s">
        <v>1682</v>
      </c>
      <c r="AM9" s="428"/>
      <c r="AN9" s="428" t="str">
        <f t="shared" si="0"/>
        <v>Добавить значение признака дифференциации</v>
      </c>
      <c r="AO9" s="428"/>
      <c r="AP9" s="428"/>
    </row>
    <row r="10" spans="1:42" ht="21" hidden="1" customHeight="1">
      <c r="A10" s="1244"/>
      <c r="B10" s="1244"/>
      <c r="C10" s="1244"/>
      <c r="D10" s="1244"/>
      <c r="E10" s="2236"/>
      <c r="F10" s="2236"/>
      <c r="G10" s="2236"/>
      <c r="H10" s="2236"/>
      <c r="I10" s="2237"/>
      <c r="J10" s="1244"/>
      <c r="K10" s="1244"/>
      <c r="L10" s="1245"/>
      <c r="P10" s="2157"/>
      <c r="Q10" s="1343"/>
      <c r="R10" s="280"/>
      <c r="S10" s="1161"/>
      <c r="T10" s="291" t="s">
        <v>1476</v>
      </c>
      <c r="U10" s="294"/>
      <c r="V10" s="294"/>
      <c r="W10" s="294"/>
      <c r="X10" s="294"/>
      <c r="Y10" s="294"/>
      <c r="Z10" s="294"/>
      <c r="AA10" s="294"/>
      <c r="AB10" s="293"/>
      <c r="AC10" s="294"/>
      <c r="AD10" s="294"/>
      <c r="AE10" s="294"/>
      <c r="AF10" s="294"/>
      <c r="AG10" s="294"/>
      <c r="AH10" s="294"/>
      <c r="AI10" s="293"/>
      <c r="AJ10" s="294"/>
      <c r="AK10" s="1307"/>
      <c r="AM10" s="428"/>
      <c r="AN10" s="428" t="str">
        <f t="shared" si="0"/>
        <v>Добавить группу потребителей</v>
      </c>
      <c r="AO10" s="428"/>
      <c r="AP10" s="428"/>
    </row>
    <row r="11" spans="1:42" ht="21" hidden="1" customHeight="1">
      <c r="A11" s="1244"/>
      <c r="B11" s="1244"/>
      <c r="C11" s="1244"/>
      <c r="D11" s="1244"/>
      <c r="E11" s="2236"/>
      <c r="F11" s="2236"/>
      <c r="G11" s="2236"/>
      <c r="H11" s="2235"/>
      <c r="I11" s="1244"/>
      <c r="J11" s="1244"/>
      <c r="K11" s="1244"/>
      <c r="L11" s="1245"/>
      <c r="M11" s="1246"/>
      <c r="N11" s="1246"/>
      <c r="O11" s="464"/>
      <c r="P11" s="284"/>
      <c r="Q11" s="303"/>
      <c r="R11" s="279"/>
      <c r="S11" s="1161"/>
      <c r="T11" s="299" t="s">
        <v>1683</v>
      </c>
      <c r="U11" s="294"/>
      <c r="V11" s="294"/>
      <c r="W11" s="294"/>
      <c r="X11" s="294"/>
      <c r="Y11" s="294"/>
      <c r="Z11" s="294"/>
      <c r="AA11" s="294"/>
      <c r="AB11" s="293"/>
      <c r="AC11" s="294"/>
      <c r="AD11" s="294"/>
      <c r="AE11" s="294"/>
      <c r="AF11" s="294"/>
      <c r="AG11" s="294"/>
      <c r="AH11" s="294"/>
      <c r="AI11" s="293"/>
      <c r="AJ11" s="294"/>
      <c r="AK11" s="221"/>
      <c r="AM11" s="428"/>
      <c r="AN11" s="428" t="str">
        <f t="shared" si="0"/>
        <v>Добавить наименование признака дифференциации</v>
      </c>
      <c r="AO11" s="428"/>
      <c r="AP11" s="428"/>
    </row>
    <row r="12" spans="1:42" s="1772" customFormat="1" ht="0.75" hidden="1" customHeight="1">
      <c r="A12" s="1228"/>
      <c r="B12" s="1228"/>
      <c r="C12" s="1200"/>
      <c r="D12" s="1200"/>
      <c r="E12" s="2236"/>
      <c r="F12" s="2235"/>
      <c r="G12" s="1200"/>
      <c r="H12" s="1200"/>
      <c r="I12" s="1200"/>
      <c r="J12" s="1200"/>
      <c r="K12" s="1200"/>
      <c r="L12" s="1356"/>
      <c r="M12" s="1207"/>
      <c r="N12" s="1207"/>
      <c r="P12" s="1202"/>
      <c r="Q12" s="1203"/>
      <c r="R12" s="1202"/>
      <c r="S12" s="1208"/>
      <c r="T12" s="1211" t="s">
        <v>1437</v>
      </c>
      <c r="U12" s="1210"/>
      <c r="V12" s="1210"/>
      <c r="W12" s="1210"/>
      <c r="X12" s="1210"/>
      <c r="Y12" s="1210"/>
      <c r="Z12" s="1210"/>
      <c r="AA12" s="1210"/>
      <c r="AB12" s="1210"/>
      <c r="AC12" s="1210"/>
      <c r="AD12" s="1210"/>
      <c r="AE12" s="1210"/>
      <c r="AF12" s="1210"/>
      <c r="AG12" s="1210"/>
      <c r="AH12" s="1210"/>
      <c r="AI12" s="1210"/>
      <c r="AJ12" s="1210"/>
      <c r="AK12" s="1210"/>
      <c r="AM12" s="696"/>
      <c r="AN12" s="696" t="str">
        <f t="shared" si="0"/>
        <v>Добавить централизованную систему для дифференциации</v>
      </c>
      <c r="AO12" s="696"/>
      <c r="AP12" s="696"/>
    </row>
    <row r="13" spans="1:42" s="1772" customFormat="1" ht="0.75" hidden="1" customHeight="1">
      <c r="A13" s="1228"/>
      <c r="B13" s="1228"/>
      <c r="C13" s="1228"/>
      <c r="D13" s="1228"/>
      <c r="E13" s="2235"/>
      <c r="F13" s="1228"/>
      <c r="G13" s="1228"/>
      <c r="H13" s="1228"/>
      <c r="I13" s="1228"/>
      <c r="J13" s="1228"/>
      <c r="K13" s="1228"/>
      <c r="L13" s="1231"/>
      <c r="M13" s="1207"/>
      <c r="N13" s="1207"/>
      <c r="O13" s="446"/>
      <c r="P13" s="311"/>
      <c r="Q13" s="1229"/>
      <c r="R13" s="311"/>
      <c r="S13" s="1208"/>
      <c r="T13" s="1211" t="s">
        <v>1438</v>
      </c>
      <c r="U13" s="1210"/>
      <c r="V13" s="1210"/>
      <c r="W13" s="1210"/>
      <c r="X13" s="1210"/>
      <c r="Y13" s="1210"/>
      <c r="Z13" s="1210"/>
      <c r="AA13" s="1210"/>
      <c r="AB13" s="1210"/>
      <c r="AC13" s="1210"/>
      <c r="AD13" s="1210"/>
      <c r="AE13" s="1210"/>
      <c r="AF13" s="1210"/>
      <c r="AG13" s="1210"/>
      <c r="AH13" s="1210"/>
      <c r="AI13" s="1210"/>
      <c r="AJ13" s="1210"/>
      <c r="AK13" s="1210"/>
      <c r="AM13" s="428"/>
      <c r="AN13" s="428" t="str">
        <f t="shared" si="0"/>
        <v>Добавить территорию для дифференциации</v>
      </c>
      <c r="AO13" s="428"/>
      <c r="AP13" s="428"/>
    </row>
    <row r="14" spans="1:42" ht="14.25" hidden="1" customHeight="1">
      <c r="AB14" s="254"/>
      <c r="AI14" s="254"/>
    </row>
    <row r="15" spans="1:42" ht="14.25" hidden="1" customHeight="1">
      <c r="AC15" s="1671"/>
      <c r="AD15" s="1671"/>
      <c r="AE15" s="1672"/>
      <c r="AF15" s="2233"/>
      <c r="AG15" s="2232" t="s">
        <v>66</v>
      </c>
      <c r="AH15" s="2233"/>
      <c r="AI15" s="2232" t="s">
        <v>66</v>
      </c>
    </row>
    <row r="16" spans="1:42" ht="14.25" hidden="1" customHeight="1">
      <c r="AC16" s="1671"/>
      <c r="AD16" s="1671"/>
      <c r="AE16" s="1670" t="str">
        <f>AF15&amp;"-"&amp;AH15</f>
        <v>-</v>
      </c>
      <c r="AF16" s="2232"/>
      <c r="AG16" s="2232"/>
      <c r="AH16" s="2232"/>
      <c r="AI16" s="2232"/>
    </row>
    <row r="17" spans="1:42" ht="14.25" hidden="1" customHeight="1">
      <c r="AI17" s="254"/>
    </row>
    <row r="18" spans="1:42" s="1759" customFormat="1" ht="14.25" hidden="1" customHeight="1">
      <c r="L18" s="1340"/>
      <c r="M18" s="1243"/>
      <c r="N18" s="1243"/>
      <c r="O18" s="1248" t="s">
        <v>1478</v>
      </c>
      <c r="P18" s="1243"/>
      <c r="Q18" s="1252"/>
      <c r="R18" s="1252"/>
      <c r="S18" s="644"/>
      <c r="Y18" s="1248"/>
      <c r="AA18" s="1248"/>
      <c r="AB18" s="1247"/>
      <c r="AF18" s="1248"/>
      <c r="AH18" s="1248"/>
      <c r="AI18" s="1247"/>
      <c r="AL18" s="439"/>
      <c r="AM18" s="439"/>
      <c r="AN18" s="439"/>
      <c r="AO18" s="439"/>
      <c r="AP18" s="439"/>
    </row>
    <row r="19" spans="1:42" s="1759" customFormat="1" ht="14.25" hidden="1" customHeight="1">
      <c r="L19" s="1340"/>
      <c r="M19" s="1243"/>
      <c r="N19" s="1243"/>
      <c r="O19" s="1243"/>
      <c r="P19" s="1243"/>
      <c r="Q19" s="1252"/>
      <c r="R19" s="1252"/>
      <c r="S19" s="644"/>
      <c r="AB19" s="1247"/>
      <c r="AI19" s="1247"/>
      <c r="AL19" s="439"/>
      <c r="AM19" s="439"/>
      <c r="AN19" s="439"/>
      <c r="AO19" s="439"/>
      <c r="AP19" s="439"/>
    </row>
    <row r="20" spans="1:42" s="1759" customFormat="1" ht="12" hidden="1" customHeight="1">
      <c r="L20" s="1340"/>
      <c r="M20" s="1243"/>
      <c r="N20" s="1243"/>
      <c r="O20" s="1245" t="s">
        <v>1479</v>
      </c>
      <c r="P20" s="1243"/>
      <c r="Q20" s="1308"/>
      <c r="R20" s="1308"/>
      <c r="S20" s="644"/>
      <c r="T20" s="1036" t="s">
        <v>1480</v>
      </c>
      <c r="Z20" s="111" t="s">
        <v>1481</v>
      </c>
      <c r="AB20" s="111" t="s">
        <v>1482</v>
      </c>
      <c r="AC20" s="1036" t="s">
        <v>1480</v>
      </c>
      <c r="AG20" s="111" t="s">
        <v>1483</v>
      </c>
      <c r="AI20" s="111" t="s">
        <v>1482</v>
      </c>
    </row>
    <row r="21" spans="1:42" ht="14.25" hidden="1" customHeight="1">
      <c r="O21" s="1245"/>
    </row>
    <row r="22" spans="1:42" ht="14.25" hidden="1" customHeight="1">
      <c r="O22" s="1245"/>
    </row>
    <row r="23" spans="1:42" ht="14.25" customHeight="1">
      <c r="Q23" s="304"/>
      <c r="R23" s="304"/>
      <c r="S23" s="1158"/>
      <c r="T23" s="289"/>
      <c r="U23" s="289"/>
      <c r="V23" s="437"/>
      <c r="W23" s="437"/>
      <c r="X23" s="437"/>
      <c r="Y23" s="437"/>
      <c r="Z23" s="437"/>
      <c r="AA23" s="437"/>
      <c r="AB23" s="437"/>
      <c r="AC23" s="437"/>
      <c r="AD23" s="437"/>
      <c r="AE23" s="437"/>
      <c r="AF23" s="437"/>
      <c r="AG23" s="437"/>
      <c r="AH23" s="437"/>
      <c r="AI23" s="437"/>
    </row>
    <row r="24" spans="1:42" ht="32.25" customHeight="1">
      <c r="Q24" s="304"/>
      <c r="R24" s="304"/>
      <c r="S24" s="2079" t="str">
        <f>IF(TEMPLATE_GROUP="P",PT_P_FORM_VOTV_4_NAME_FORM,PT_R_FORM_VOTV_16_NAME_FORM)</f>
        <v>Форма 16. Информация о предложении расчетной величины тарифов организации водоотведения об установлении тарифов в сфере водоотведения на очередной период регулирования &lt;1&gt;</v>
      </c>
      <c r="T24" s="2079"/>
      <c r="U24" s="2079"/>
      <c r="V24" s="2079"/>
      <c r="W24" s="2079"/>
      <c r="X24" s="2079"/>
      <c r="Y24" s="2079"/>
      <c r="Z24" s="2079"/>
      <c r="AA24" s="2079"/>
      <c r="AB24" s="2079"/>
      <c r="AC24" s="2079"/>
      <c r="AD24" s="2079"/>
      <c r="AE24" s="2079"/>
      <c r="AF24" s="2079"/>
      <c r="AG24" s="2079"/>
      <c r="AH24" s="2079"/>
      <c r="AI24" s="1116"/>
    </row>
    <row r="25" spans="1:42" ht="14.25" customHeight="1">
      <c r="Q25" s="304"/>
      <c r="R25" s="304"/>
      <c r="S25" s="2102" t="str">
        <f>IF(org=0,"Не определено",org)</f>
        <v>ООО "Автозаводская ТЭЦ"</v>
      </c>
      <c r="T25" s="2102"/>
      <c r="U25" s="2102"/>
      <c r="V25" s="2102"/>
      <c r="W25" s="2102"/>
      <c r="X25" s="2102"/>
      <c r="Y25" s="2102"/>
      <c r="Z25" s="2102"/>
      <c r="AA25" s="2102"/>
      <c r="AB25" s="2102"/>
      <c r="AC25" s="2102"/>
      <c r="AD25" s="2102"/>
      <c r="AE25" s="2102"/>
      <c r="AF25" s="2102"/>
      <c r="AG25" s="2102"/>
      <c r="AH25" s="2102"/>
      <c r="AI25" s="1116"/>
    </row>
    <row r="26" spans="1:42" ht="14.25" hidden="1" customHeight="1">
      <c r="Q26" s="304"/>
      <c r="R26" s="304"/>
      <c r="S26" s="1158"/>
      <c r="T26" s="289"/>
      <c r="U26" s="289"/>
      <c r="V26" s="248"/>
      <c r="W26" s="248"/>
      <c r="X26" s="248"/>
      <c r="Y26" s="248"/>
      <c r="Z26" s="248"/>
      <c r="AA26" s="248"/>
      <c r="AB26" s="248"/>
      <c r="AC26" s="248"/>
      <c r="AD26" s="248"/>
      <c r="AE26" s="248"/>
      <c r="AF26" s="248"/>
      <c r="AG26" s="248"/>
      <c r="AH26" s="248"/>
      <c r="AI26" s="248"/>
      <c r="AJ26" s="437"/>
    </row>
    <row r="27" spans="1:42" s="1950" customFormat="1" ht="25.5" hidden="1" customHeight="1">
      <c r="A27" s="1249"/>
      <c r="B27" s="1249"/>
      <c r="C27" s="1249"/>
      <c r="D27" s="1249"/>
      <c r="E27" s="1249"/>
      <c r="F27" s="1249"/>
      <c r="G27" s="1249"/>
      <c r="H27" s="1249"/>
      <c r="I27" s="1249"/>
      <c r="J27" s="1249"/>
      <c r="K27" s="1249"/>
      <c r="L27" s="1250"/>
      <c r="M27" s="1249"/>
      <c r="N27" s="1249"/>
      <c r="O27" s="1249"/>
      <c r="S27" s="2227" t="s">
        <v>38</v>
      </c>
      <c r="T27" s="2227"/>
      <c r="U27" s="1253"/>
      <c r="V27" s="2228" t="str">
        <f>IF(TITLE_NAME_OR_PR_CHANGE="",IF(TITLE_NAME_OR_PR="","",TITLE_NAME_OR_PR),TITLE_NAME_OR_PR_CHANGE)</f>
        <v/>
      </c>
      <c r="W27" s="2228"/>
      <c r="X27" s="2228"/>
      <c r="Y27" s="2228"/>
      <c r="Z27" s="2228"/>
      <c r="AA27" s="2228"/>
      <c r="AB27" s="253"/>
      <c r="AC27" s="2228" t="str">
        <f>IF(TITLE_NAME_OR_PR_CHANGE="",IF(TITLE_NAME_OR_PR="","",TITLE_NAME_OR_PR),TITLE_NAME_OR_PR_CHANGE)</f>
        <v/>
      </c>
      <c r="AD27" s="2228"/>
      <c r="AE27" s="2228"/>
      <c r="AF27" s="2228"/>
      <c r="AG27" s="2228"/>
      <c r="AH27" s="2228"/>
      <c r="AI27" s="253"/>
      <c r="AJ27" s="253"/>
      <c r="AK27" s="199"/>
      <c r="AL27" s="295"/>
      <c r="AM27" s="295"/>
      <c r="AN27" s="295"/>
      <c r="AO27" s="295"/>
      <c r="AP27" s="295"/>
    </row>
    <row r="28" spans="1:42" s="1950" customFormat="1" ht="18.75" hidden="1" customHeight="1">
      <c r="A28" s="1249"/>
      <c r="B28" s="1249"/>
      <c r="C28" s="1249"/>
      <c r="D28" s="1249"/>
      <c r="E28" s="1249"/>
      <c r="F28" s="1249"/>
      <c r="G28" s="1249"/>
      <c r="H28" s="1249"/>
      <c r="I28" s="1249"/>
      <c r="J28" s="1249"/>
      <c r="K28" s="1249"/>
      <c r="L28" s="1250"/>
      <c r="M28" s="1249"/>
      <c r="N28" s="1249"/>
      <c r="O28" s="1249"/>
      <c r="S28" s="2227" t="s">
        <v>1484</v>
      </c>
      <c r="T28" s="2227"/>
      <c r="U28" s="1253"/>
      <c r="V28" s="2228" t="str">
        <f>IF(TITLE_DATE_CHANGE_PERIOD="",IF(TITLE_DATE_PR="","",TITLE_DATE_PR),TITLE_DATE_CHANGE_PERIOD)</f>
        <v/>
      </c>
      <c r="W28" s="2228"/>
      <c r="X28" s="2228"/>
      <c r="Y28" s="2228"/>
      <c r="Z28" s="2228"/>
      <c r="AA28" s="2228"/>
      <c r="AB28" s="253"/>
      <c r="AC28" s="2228" t="str">
        <f>IF(TITLE_DATE_CHANGE_PERIOD="",IF(TITLE_DATE_PR="","",TITLE_DATE_PR),TITLE_DATE_CHANGE_PERIOD)</f>
        <v/>
      </c>
      <c r="AD28" s="2228"/>
      <c r="AE28" s="2228"/>
      <c r="AF28" s="2228"/>
      <c r="AG28" s="2228"/>
      <c r="AH28" s="2228"/>
      <c r="AI28" s="253"/>
      <c r="AJ28" s="253"/>
      <c r="AK28" s="199"/>
      <c r="AL28" s="295"/>
      <c r="AM28" s="295"/>
      <c r="AN28" s="295"/>
      <c r="AO28" s="295"/>
      <c r="AP28" s="295"/>
    </row>
    <row r="29" spans="1:42" s="1950" customFormat="1" ht="18.75" hidden="1" customHeight="1">
      <c r="A29" s="1249"/>
      <c r="B29" s="1249"/>
      <c r="C29" s="1249"/>
      <c r="D29" s="1249"/>
      <c r="E29" s="1249"/>
      <c r="F29" s="1249"/>
      <c r="G29" s="1249"/>
      <c r="H29" s="1249"/>
      <c r="I29" s="1249"/>
      <c r="J29" s="1249"/>
      <c r="K29" s="1249"/>
      <c r="L29" s="1250"/>
      <c r="M29" s="1249"/>
      <c r="N29" s="1249"/>
      <c r="O29" s="1249"/>
      <c r="S29" s="2227" t="s">
        <v>1485</v>
      </c>
      <c r="T29" s="2227"/>
      <c r="U29" s="1253"/>
      <c r="V29" s="2228" t="str">
        <f>IF(TITLE_NUMBER_PR_CHANGE="",IF(TITLE_NUMBER_PR="","",TITLE_NUMBER_PR),TITLE_NUMBER_PR_CHANGE)</f>
        <v/>
      </c>
      <c r="W29" s="2228"/>
      <c r="X29" s="2228"/>
      <c r="Y29" s="2228"/>
      <c r="Z29" s="2228"/>
      <c r="AA29" s="2228"/>
      <c r="AB29" s="253"/>
      <c r="AC29" s="2228" t="str">
        <f>IF(TITLE_NUMBER_PR_CHANGE="",IF(TITLE_NUMBER_PR="","",TITLE_NUMBER_PR),TITLE_NUMBER_PR_CHANGE)</f>
        <v/>
      </c>
      <c r="AD29" s="2228"/>
      <c r="AE29" s="2228"/>
      <c r="AF29" s="2228"/>
      <c r="AG29" s="2228"/>
      <c r="AH29" s="2228"/>
      <c r="AI29" s="253"/>
      <c r="AJ29" s="253"/>
      <c r="AK29" s="199"/>
      <c r="AL29" s="295"/>
      <c r="AM29" s="295"/>
      <c r="AN29" s="295"/>
      <c r="AO29" s="295"/>
      <c r="AP29" s="295"/>
    </row>
    <row r="30" spans="1:42" s="1950" customFormat="1" ht="18.75" hidden="1" customHeight="1">
      <c r="A30" s="1249"/>
      <c r="B30" s="1249"/>
      <c r="C30" s="1249"/>
      <c r="D30" s="1249"/>
      <c r="E30" s="1249"/>
      <c r="F30" s="1249"/>
      <c r="G30" s="1249"/>
      <c r="H30" s="1249"/>
      <c r="I30" s="1249"/>
      <c r="J30" s="1249"/>
      <c r="K30" s="1249"/>
      <c r="L30" s="1250"/>
      <c r="M30" s="1249"/>
      <c r="N30" s="1249"/>
      <c r="O30" s="1249"/>
      <c r="S30" s="2227" t="s">
        <v>39</v>
      </c>
      <c r="T30" s="2227"/>
      <c r="U30" s="1253"/>
      <c r="V30" s="2228" t="str">
        <f>IF(TITLE_IST_PUB_CHANGE="",IF(TITLE_IST_PUB="","",TITLE_IST_PUB),TITLE_IST_PUB_CHANGE)</f>
        <v/>
      </c>
      <c r="W30" s="2228"/>
      <c r="X30" s="2228"/>
      <c r="Y30" s="2228"/>
      <c r="Z30" s="2228"/>
      <c r="AA30" s="2228"/>
      <c r="AB30" s="253"/>
      <c r="AC30" s="2228" t="str">
        <f>IF(TITLE_IST_PUB_CHANGE="",IF(TITLE_IST_PUB="","",TITLE_IST_PUB),TITLE_IST_PUB_CHANGE)</f>
        <v/>
      </c>
      <c r="AD30" s="2228"/>
      <c r="AE30" s="2228"/>
      <c r="AF30" s="2228"/>
      <c r="AG30" s="2228"/>
      <c r="AH30" s="2228"/>
      <c r="AI30" s="253"/>
      <c r="AJ30" s="253"/>
      <c r="AK30" s="199"/>
      <c r="AL30" s="295"/>
      <c r="AM30" s="295"/>
      <c r="AN30" s="295"/>
      <c r="AO30" s="295"/>
      <c r="AP30" s="295"/>
    </row>
    <row r="31" spans="1:42" ht="14.25" hidden="1" customHeight="1">
      <c r="Q31" s="304"/>
      <c r="R31" s="304"/>
      <c r="S31" s="1158"/>
      <c r="T31" s="289"/>
      <c r="U31" s="289"/>
      <c r="V31" s="248"/>
      <c r="W31" s="248"/>
      <c r="X31" s="248"/>
      <c r="Y31" s="248"/>
      <c r="Z31" s="248"/>
      <c r="AA31" s="248"/>
      <c r="AB31" s="248"/>
      <c r="AC31" s="248"/>
      <c r="AD31" s="248"/>
      <c r="AE31" s="248"/>
      <c r="AF31" s="248"/>
      <c r="AG31" s="248"/>
      <c r="AH31" s="248"/>
      <c r="AI31" s="248"/>
      <c r="AJ31" s="437"/>
    </row>
    <row r="32" spans="1:42" s="1950" customFormat="1" ht="18.75" hidden="1" customHeight="1">
      <c r="A32" s="1249"/>
      <c r="B32" s="1249"/>
      <c r="C32" s="1249"/>
      <c r="D32" s="1249"/>
      <c r="E32" s="1249"/>
      <c r="F32" s="1249"/>
      <c r="G32" s="1249"/>
      <c r="H32" s="1249"/>
      <c r="I32" s="1249"/>
      <c r="J32" s="1249"/>
      <c r="K32" s="1249"/>
      <c r="L32" s="1250"/>
      <c r="M32" s="1249"/>
      <c r="N32" s="1249"/>
      <c r="O32" s="1249"/>
      <c r="S32" s="2227" t="s">
        <v>1486</v>
      </c>
      <c r="T32" s="2227"/>
      <c r="U32" s="1253"/>
      <c r="V32" s="2228" t="str">
        <f>IF(TITLE_DATE_CHANGE_PERIOD="",IF(TITLE_DATE_PR="","",TITLE_DATE_PR),TITLE_DATE_CHANGE_PERIOD)</f>
        <v/>
      </c>
      <c r="W32" s="2228"/>
      <c r="X32" s="2228"/>
      <c r="Y32" s="2228"/>
      <c r="Z32" s="2228"/>
      <c r="AA32" s="2228"/>
      <c r="AB32" s="253"/>
      <c r="AC32" s="2228" t="str">
        <f>IF(TITLE_DATE_CHANGE_PERIOD="",IF(TITLE_DATE_PR="","",TITLE_DATE_PR),TITLE_DATE_CHANGE_PERIOD)</f>
        <v/>
      </c>
      <c r="AD32" s="2228"/>
      <c r="AE32" s="2228"/>
      <c r="AF32" s="2228"/>
      <c r="AG32" s="2228"/>
      <c r="AH32" s="2228"/>
      <c r="AI32" s="253"/>
      <c r="AJ32" s="253"/>
      <c r="AK32" s="199"/>
      <c r="AL32" s="295"/>
      <c r="AM32" s="295"/>
      <c r="AN32" s="295"/>
      <c r="AO32" s="295"/>
      <c r="AP32" s="295"/>
    </row>
    <row r="33" spans="1:42" s="1950" customFormat="1" ht="18.75" hidden="1" customHeight="1">
      <c r="A33" s="1249"/>
      <c r="B33" s="1249"/>
      <c r="C33" s="1249"/>
      <c r="D33" s="1249"/>
      <c r="E33" s="1249"/>
      <c r="F33" s="1249"/>
      <c r="G33" s="1249"/>
      <c r="H33" s="1249"/>
      <c r="I33" s="1249"/>
      <c r="J33" s="1249"/>
      <c r="K33" s="1249"/>
      <c r="L33" s="1250"/>
      <c r="M33" s="1249"/>
      <c r="N33" s="1249"/>
      <c r="O33" s="1249"/>
      <c r="S33" s="2227" t="s">
        <v>1487</v>
      </c>
      <c r="T33" s="2227"/>
      <c r="U33" s="1253"/>
      <c r="V33" s="2228" t="str">
        <f>IF(TITLE_NUMBER_PR_CHANGE="",IF(TITLE_NUMBER_PR="","",TITLE_NUMBER_PR),TITLE_NUMBER_PR_CHANGE)</f>
        <v/>
      </c>
      <c r="W33" s="2228"/>
      <c r="X33" s="2228"/>
      <c r="Y33" s="2228"/>
      <c r="Z33" s="2228"/>
      <c r="AA33" s="2228"/>
      <c r="AB33" s="253"/>
      <c r="AC33" s="2228" t="str">
        <f>IF(TITLE_NUMBER_PR_CHANGE="",IF(TITLE_NUMBER_PR="","",TITLE_NUMBER_PR),TITLE_NUMBER_PR_CHANGE)</f>
        <v/>
      </c>
      <c r="AD33" s="2228"/>
      <c r="AE33" s="2228"/>
      <c r="AF33" s="2228"/>
      <c r="AG33" s="2228"/>
      <c r="AH33" s="2228"/>
      <c r="AI33" s="253"/>
      <c r="AJ33" s="253"/>
      <c r="AK33" s="199"/>
      <c r="AL33" s="295"/>
      <c r="AM33" s="295"/>
      <c r="AN33" s="295"/>
      <c r="AO33" s="295"/>
      <c r="AP33" s="295"/>
    </row>
    <row r="34" spans="1:42" s="1950" customFormat="1" ht="0.75" customHeight="1">
      <c r="A34" s="1249"/>
      <c r="B34" s="1249"/>
      <c r="C34" s="1249"/>
      <c r="D34" s="1249"/>
      <c r="E34" s="1249"/>
      <c r="F34" s="1249"/>
      <c r="G34" s="1249"/>
      <c r="H34" s="1249"/>
      <c r="I34" s="1249"/>
      <c r="J34" s="1249"/>
      <c r="K34" s="1249"/>
      <c r="L34" s="1250"/>
      <c r="M34" s="1249"/>
      <c r="N34" s="1249"/>
      <c r="O34" s="1249"/>
      <c r="S34" s="250"/>
      <c r="T34" s="250"/>
      <c r="U34" s="1350"/>
      <c r="V34" s="253"/>
      <c r="W34" s="253"/>
      <c r="X34" s="253"/>
      <c r="Y34" s="253"/>
      <c r="Z34" s="253"/>
      <c r="AA34" s="253"/>
      <c r="AB34" s="197" t="s">
        <v>1488</v>
      </c>
      <c r="AC34" s="253"/>
      <c r="AD34" s="253"/>
      <c r="AE34" s="253"/>
      <c r="AF34" s="253"/>
      <c r="AG34" s="253"/>
      <c r="AH34" s="253"/>
      <c r="AI34" s="197" t="s">
        <v>1488</v>
      </c>
      <c r="AL34" s="295"/>
      <c r="AM34" s="295"/>
      <c r="AN34" s="295"/>
      <c r="AO34" s="295"/>
      <c r="AP34" s="295"/>
    </row>
    <row r="35" spans="1:42" ht="14.25" customHeight="1">
      <c r="Q35" s="304"/>
      <c r="R35" s="304"/>
      <c r="S35" s="1158"/>
      <c r="T35" s="289"/>
      <c r="U35" s="1117"/>
      <c r="V35" s="2246"/>
      <c r="W35" s="2246"/>
      <c r="X35" s="2246"/>
      <c r="Y35" s="2246"/>
      <c r="Z35" s="2246"/>
      <c r="AA35" s="2246"/>
      <c r="AB35" s="2246"/>
      <c r="AC35" s="2246"/>
      <c r="AD35" s="2246"/>
      <c r="AE35" s="2246"/>
      <c r="AF35" s="2246"/>
      <c r="AG35" s="2246"/>
      <c r="AH35" s="2246"/>
      <c r="AI35" s="2246"/>
    </row>
    <row r="36" spans="1:42" ht="14.25" customHeight="1">
      <c r="Q36" s="304"/>
      <c r="R36" s="304"/>
      <c r="S36" s="2021" t="s">
        <v>292</v>
      </c>
      <c r="T36" s="2021"/>
      <c r="U36" s="2021"/>
      <c r="V36" s="2021"/>
      <c r="W36" s="2021"/>
      <c r="X36" s="2021"/>
      <c r="Y36" s="2021"/>
      <c r="Z36" s="2021"/>
      <c r="AA36" s="2021"/>
      <c r="AB36" s="2021"/>
      <c r="AC36" s="2021"/>
      <c r="AD36" s="2021"/>
      <c r="AE36" s="2021"/>
      <c r="AF36" s="2021"/>
      <c r="AG36" s="2021"/>
      <c r="AH36" s="2021"/>
      <c r="AI36" s="2021"/>
      <c r="AJ36" s="2021"/>
      <c r="AK36" s="2021" t="s">
        <v>293</v>
      </c>
    </row>
    <row r="37" spans="1:42" ht="14.25" customHeight="1">
      <c r="Q37" s="304"/>
      <c r="R37" s="304"/>
      <c r="S37" s="2247" t="s">
        <v>88</v>
      </c>
      <c r="T37" s="2111" t="s">
        <v>1489</v>
      </c>
      <c r="U37" s="219"/>
      <c r="V37" s="2248" t="s">
        <v>1490</v>
      </c>
      <c r="W37" s="2249"/>
      <c r="X37" s="2249"/>
      <c r="Y37" s="2249"/>
      <c r="Z37" s="2249"/>
      <c r="AA37" s="2250"/>
      <c r="AB37" s="2251" t="s">
        <v>1491</v>
      </c>
      <c r="AC37" s="2248" t="s">
        <v>1490</v>
      </c>
      <c r="AD37" s="2249"/>
      <c r="AE37" s="2249"/>
      <c r="AF37" s="2249"/>
      <c r="AG37" s="2249"/>
      <c r="AH37" s="2250"/>
      <c r="AI37" s="2251" t="s">
        <v>1492</v>
      </c>
      <c r="AJ37" s="2254" t="s">
        <v>1493</v>
      </c>
      <c r="AK37" s="2021"/>
    </row>
    <row r="38" spans="1:42" ht="33.75" customHeight="1">
      <c r="Q38" s="304"/>
      <c r="R38" s="304"/>
      <c r="S38" s="2247"/>
      <c r="T38" s="2111"/>
      <c r="U38" s="924"/>
      <c r="V38" s="1345" t="s">
        <v>1684</v>
      </c>
      <c r="W38" s="2003" t="s">
        <v>1496</v>
      </c>
      <c r="X38" s="2002"/>
      <c r="Y38" s="2003" t="s">
        <v>1497</v>
      </c>
      <c r="Z38" s="2008"/>
      <c r="AA38" s="2002"/>
      <c r="AB38" s="2252"/>
      <c r="AC38" s="1345" t="s">
        <v>1684</v>
      </c>
      <c r="AD38" s="2003" t="s">
        <v>1496</v>
      </c>
      <c r="AE38" s="2002"/>
      <c r="AF38" s="2003" t="s">
        <v>1497</v>
      </c>
      <c r="AG38" s="2008"/>
      <c r="AH38" s="2002"/>
      <c r="AI38" s="2252"/>
      <c r="AJ38" s="2255"/>
      <c r="AK38" s="2021"/>
    </row>
    <row r="39" spans="1:42" ht="86.25" customHeight="1">
      <c r="A39" s="1251"/>
      <c r="B39" s="1251" t="s">
        <v>136</v>
      </c>
      <c r="C39" s="1251" t="s">
        <v>137</v>
      </c>
      <c r="D39" s="1251" t="s">
        <v>138</v>
      </c>
      <c r="E39" s="1245" t="s">
        <v>1498</v>
      </c>
      <c r="F39" s="1245" t="s">
        <v>1499</v>
      </c>
      <c r="G39" s="1245" t="s">
        <v>1500</v>
      </c>
      <c r="H39" s="1245"/>
      <c r="I39" s="1245" t="s">
        <v>1685</v>
      </c>
      <c r="J39" s="1245" t="s">
        <v>1503</v>
      </c>
      <c r="K39" s="1245" t="s">
        <v>1686</v>
      </c>
      <c r="L39" s="1245" t="s">
        <v>1479</v>
      </c>
      <c r="Q39" s="304"/>
      <c r="R39" s="304"/>
      <c r="S39" s="2247"/>
      <c r="T39" s="2111"/>
      <c r="U39" s="220"/>
      <c r="V39" s="1345" t="s">
        <v>2111</v>
      </c>
      <c r="W39" s="1092" t="s">
        <v>2112</v>
      </c>
      <c r="X39" s="1092" t="s">
        <v>1689</v>
      </c>
      <c r="Y39" s="1351" t="s">
        <v>1507</v>
      </c>
      <c r="Z39" s="2117" t="s">
        <v>1508</v>
      </c>
      <c r="AA39" s="2131"/>
      <c r="AB39" s="2253"/>
      <c r="AC39" s="1345" t="s">
        <v>2111</v>
      </c>
      <c r="AD39" s="1092" t="s">
        <v>2112</v>
      </c>
      <c r="AE39" s="1092" t="s">
        <v>1689</v>
      </c>
      <c r="AF39" s="1351" t="s">
        <v>1507</v>
      </c>
      <c r="AG39" s="2117" t="s">
        <v>1508</v>
      </c>
      <c r="AH39" s="2131"/>
      <c r="AI39" s="2253"/>
      <c r="AJ39" s="2256"/>
      <c r="AK39" s="2021"/>
    </row>
    <row r="40" spans="1:42" s="1720" customFormat="1" ht="11.25" hidden="1" customHeight="1">
      <c r="A40" s="1251"/>
      <c r="B40" s="1251"/>
      <c r="C40" s="1251"/>
      <c r="D40" s="1251"/>
      <c r="E40" s="1251"/>
      <c r="F40" s="1251"/>
      <c r="G40" s="1251"/>
      <c r="H40" s="1251"/>
      <c r="I40" s="1251"/>
      <c r="J40" s="1251"/>
      <c r="K40" s="1251"/>
      <c r="L40" s="1245"/>
      <c r="M40" s="1243"/>
      <c r="N40" s="1243"/>
      <c r="O40" s="1243"/>
      <c r="P40" s="1119"/>
      <c r="Q40" s="1120"/>
      <c r="R40" s="1135">
        <v>1</v>
      </c>
      <c r="S40" s="1160" t="s">
        <v>109</v>
      </c>
      <c r="T40" s="1136" t="s">
        <v>110</v>
      </c>
      <c r="U40" s="1118" t="str">
        <f ca="1">OFFSET(U40,0,-1)</f>
        <v>2</v>
      </c>
      <c r="V40" s="1344">
        <f ca="1">OFFSET(V40,0,-1)+1</f>
        <v>3</v>
      </c>
      <c r="W40" s="1344">
        <f ca="1">OFFSET(W40,0,-1)+1</f>
        <v>4</v>
      </c>
      <c r="X40" s="1344">
        <f ca="1">OFFSET(X40,0,-1)+1</f>
        <v>5</v>
      </c>
      <c r="Y40" s="1344">
        <f ca="1">OFFSET(Y40,0,-1)+1</f>
        <v>6</v>
      </c>
      <c r="Z40" s="2245">
        <f ca="1">OFFSET(Z40,0,-1)+1</f>
        <v>7</v>
      </c>
      <c r="AA40" s="2245"/>
      <c r="AB40" s="1344">
        <f ca="1">OFFSET(AB40,0,-2)+1</f>
        <v>8</v>
      </c>
      <c r="AC40" s="1344">
        <f ca="1">OFFSET(AC40,0,-1)+1</f>
        <v>9</v>
      </c>
      <c r="AD40" s="1344">
        <f ca="1">OFFSET(AD40,0,-1)+1</f>
        <v>10</v>
      </c>
      <c r="AE40" s="1344">
        <f ca="1">OFFSET(AE40,0,-1)+1</f>
        <v>11</v>
      </c>
      <c r="AF40" s="1344">
        <f ca="1">OFFSET(AF40,0,-1)+1</f>
        <v>12</v>
      </c>
      <c r="AG40" s="2245">
        <f ca="1">OFFSET(AG40,0,-1)+1</f>
        <v>13</v>
      </c>
      <c r="AH40" s="2245"/>
      <c r="AI40" s="1344">
        <f ca="1">OFFSET(AI40,0,-2)+1</f>
        <v>14</v>
      </c>
      <c r="AJ40" s="1118">
        <f ca="1">OFFSET(AJ40,0,-1)</f>
        <v>14</v>
      </c>
      <c r="AK40" s="1344">
        <f ca="1">OFFSET(AK40,0,-1)+1</f>
        <v>15</v>
      </c>
      <c r="AL40" s="439"/>
      <c r="AM40" s="439"/>
      <c r="AN40" s="439"/>
      <c r="AO40" s="439"/>
      <c r="AP40" s="439"/>
    </row>
    <row r="41" spans="1:42" ht="23.25" customHeight="1">
      <c r="A41" s="1244" t="s">
        <v>263</v>
      </c>
      <c r="B41" s="1244"/>
      <c r="C41" s="1244"/>
      <c r="D41" s="1244"/>
      <c r="E41" s="2235">
        <v>1</v>
      </c>
      <c r="F41" s="1244"/>
      <c r="G41" s="1244"/>
      <c r="H41" s="1244"/>
      <c r="I41" s="1244"/>
      <c r="J41" s="1244"/>
      <c r="K41" s="1244"/>
      <c r="L41" s="1245"/>
      <c r="M41" s="1246"/>
      <c r="N41" s="1246"/>
      <c r="O41" s="1246"/>
      <c r="P41" s="285"/>
      <c r="Q41" s="284"/>
      <c r="R41" s="279"/>
      <c r="S41" s="1355">
        <f>INDEX(PT_DIFFERENTIATION_NUM_NTAR,MATCH(A41,PT_DIFFERENTIATION_NTAR_ID,0))</f>
        <v>0</v>
      </c>
      <c r="T41" s="216" t="s">
        <v>124</v>
      </c>
      <c r="U41" s="218"/>
      <c r="V41" s="2229"/>
      <c r="W41" s="2230"/>
      <c r="X41" s="2230"/>
      <c r="Y41" s="2230"/>
      <c r="Z41" s="2230"/>
      <c r="AA41" s="2230"/>
      <c r="AB41" s="2231"/>
      <c r="AC41" s="2229" t="str">
        <f>INDEX(PT_DIFFERENTIATION_NTAR,MATCH(A41,PT_DIFFERENTIATION_NTAR_ID,0))</f>
        <v/>
      </c>
      <c r="AD41" s="2230"/>
      <c r="AE41" s="2230"/>
      <c r="AF41" s="2230"/>
      <c r="AG41" s="2230"/>
      <c r="AH41" s="2230"/>
      <c r="AI41" s="2230"/>
      <c r="AJ41" s="2231"/>
      <c r="AK41" s="114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8"/>
      <c r="AN41" s="428" t="str">
        <f t="shared" ref="AN41:AN53" si="1">IF(T41="","",T41)</f>
        <v>Наименование тарифа</v>
      </c>
      <c r="AO41" s="428"/>
      <c r="AP41" s="428"/>
    </row>
    <row r="42" spans="1:42" ht="23.25" customHeight="1">
      <c r="A42" s="1244" t="s">
        <v>263</v>
      </c>
      <c r="B42" s="1244" t="s">
        <v>264</v>
      </c>
      <c r="C42" s="1244"/>
      <c r="D42" s="1244"/>
      <c r="E42" s="2236"/>
      <c r="F42" s="2235">
        <v>1</v>
      </c>
      <c r="G42" s="1244"/>
      <c r="H42" s="1244"/>
      <c r="I42" s="1244"/>
      <c r="J42" s="1244"/>
      <c r="K42" s="1244"/>
      <c r="L42" s="1245"/>
      <c r="M42" s="1246"/>
      <c r="N42" s="1246"/>
      <c r="O42" s="1246"/>
      <c r="P42" s="1349"/>
      <c r="Q42" s="276"/>
      <c r="R42" s="277"/>
      <c r="S42" s="1355" t="str">
        <f>INDEX(PT_DIFFERENTIATION_NUM_TER,MATCH(B42,PT_DIFFERENTIATION_TER_ID,0))</f>
        <v>.</v>
      </c>
      <c r="T42" s="228" t="s">
        <v>1461</v>
      </c>
      <c r="U42" s="218"/>
      <c r="V42" s="2229"/>
      <c r="W42" s="2230"/>
      <c r="X42" s="2230"/>
      <c r="Y42" s="2230"/>
      <c r="Z42" s="2230"/>
      <c r="AA42" s="2230"/>
      <c r="AB42" s="2231"/>
      <c r="AC42" s="2229" t="str">
        <f>INDEX(PT_DIFFERENTIATION_TER,MATCH(B42,PT_DIFFERENTIATION_TER_ID,0))</f>
        <v/>
      </c>
      <c r="AD42" s="2230"/>
      <c r="AE42" s="2230"/>
      <c r="AF42" s="2230"/>
      <c r="AG42" s="2230"/>
      <c r="AH42" s="2230"/>
      <c r="AI42" s="2230"/>
      <c r="AJ42" s="2231"/>
      <c r="AK42" s="1140" t="s">
        <v>1462</v>
      </c>
      <c r="AM42" s="428"/>
      <c r="AN42" s="428" t="str">
        <f t="shared" si="1"/>
        <v>Территория действия тарифа</v>
      </c>
      <c r="AO42" s="428"/>
      <c r="AP42" s="428"/>
    </row>
    <row r="43" spans="1:42" ht="23.25" customHeight="1">
      <c r="A43" s="1244" t="s">
        <v>263</v>
      </c>
      <c r="B43" s="1244" t="s">
        <v>264</v>
      </c>
      <c r="C43" s="1244" t="s">
        <v>265</v>
      </c>
      <c r="D43" s="1244"/>
      <c r="E43" s="2236"/>
      <c r="F43" s="2236"/>
      <c r="G43" s="2235">
        <v>1</v>
      </c>
      <c r="H43" s="1244"/>
      <c r="I43" s="1244"/>
      <c r="J43" s="1244"/>
      <c r="K43" s="1244"/>
      <c r="L43" s="1245"/>
      <c r="M43" s="1246"/>
      <c r="N43" s="1246"/>
      <c r="O43" s="1246"/>
      <c r="P43" s="278"/>
      <c r="Q43" s="276"/>
      <c r="R43" s="277"/>
      <c r="S43" s="1355" t="str">
        <f>INDEX(PT_DIFFERENTIATION_NUM_CS,MATCH(C43,PT_DIFFERENTIATION_CS_ID,0))</f>
        <v>..</v>
      </c>
      <c r="T43" s="229" t="s">
        <v>2109</v>
      </c>
      <c r="U43" s="218"/>
      <c r="V43" s="2229"/>
      <c r="W43" s="2230"/>
      <c r="X43" s="2230"/>
      <c r="Y43" s="2230"/>
      <c r="Z43" s="2230"/>
      <c r="AA43" s="2230"/>
      <c r="AB43" s="2231"/>
      <c r="AC43" s="2229" t="str">
        <f>INDEX(PT_DIFFERENTIATION_CS,MATCH(C43,PT_DIFFERENTIATION_CS_ID,0))</f>
        <v/>
      </c>
      <c r="AD43" s="2230"/>
      <c r="AE43" s="2230"/>
      <c r="AF43" s="2230"/>
      <c r="AG43" s="2230"/>
      <c r="AH43" s="2230"/>
      <c r="AI43" s="2230"/>
      <c r="AJ43" s="2231"/>
      <c r="AK43" s="1140" t="s">
        <v>2110</v>
      </c>
      <c r="AM43" s="428"/>
      <c r="AN43" s="428" t="str">
        <f t="shared" si="1"/>
        <v>Наименование централизованной системы водоотведения</v>
      </c>
      <c r="AO43" s="428"/>
      <c r="AP43" s="428"/>
    </row>
    <row r="44" spans="1:42" ht="23.25" customHeight="1">
      <c r="A44" s="1244" t="s">
        <v>263</v>
      </c>
      <c r="B44" s="1244" t="s">
        <v>264</v>
      </c>
      <c r="C44" s="1244" t="s">
        <v>265</v>
      </c>
      <c r="D44" s="1244" t="s">
        <v>2116</v>
      </c>
      <c r="E44" s="2236"/>
      <c r="F44" s="2236"/>
      <c r="G44" s="2236"/>
      <c r="H44" s="2236"/>
      <c r="I44" s="2237" t="str">
        <f>S43&amp;".1"</f>
        <v>...1</v>
      </c>
      <c r="J44" s="1244"/>
      <c r="K44" s="1244"/>
      <c r="L44" s="1245"/>
      <c r="P44" s="2157">
        <v>1</v>
      </c>
      <c r="Q44" s="1343"/>
      <c r="R44" s="280"/>
      <c r="S44" s="1355" t="str">
        <f>$I44</f>
        <v>...1</v>
      </c>
      <c r="T44" s="203" t="s">
        <v>1678</v>
      </c>
      <c r="U44" s="218"/>
      <c r="V44" s="2327"/>
      <c r="W44" s="2328"/>
      <c r="X44" s="2328"/>
      <c r="Y44" s="2328"/>
      <c r="Z44" s="2328"/>
      <c r="AA44" s="2328"/>
      <c r="AB44" s="2329"/>
      <c r="AC44" s="2330"/>
      <c r="AD44" s="2331"/>
      <c r="AE44" s="2331"/>
      <c r="AF44" s="2331"/>
      <c r="AG44" s="2331"/>
      <c r="AH44" s="2331"/>
      <c r="AI44" s="2331"/>
      <c r="AJ44" s="2332"/>
      <c r="AK44" s="1140" t="s">
        <v>1679</v>
      </c>
      <c r="AM44" s="428"/>
      <c r="AN44" s="428" t="str">
        <f t="shared" si="1"/>
        <v>Наименование признака дифференциации</v>
      </c>
      <c r="AO44" s="428"/>
      <c r="AP44" s="428"/>
    </row>
    <row r="45" spans="1:42" ht="23.25" customHeight="1">
      <c r="A45" s="1244" t="s">
        <v>263</v>
      </c>
      <c r="B45" s="1244" t="s">
        <v>264</v>
      </c>
      <c r="C45" s="1244" t="s">
        <v>265</v>
      </c>
      <c r="D45" s="1244" t="s">
        <v>2116</v>
      </c>
      <c r="E45" s="2236"/>
      <c r="F45" s="2236"/>
      <c r="G45" s="2236"/>
      <c r="H45" s="2236"/>
      <c r="I45" s="2238"/>
      <c r="J45" s="2237" t="str">
        <f>I44&amp;".1"</f>
        <v>...1.1</v>
      </c>
      <c r="K45" s="1244"/>
      <c r="L45" s="1245" t="s">
        <v>1470</v>
      </c>
      <c r="P45" s="2157"/>
      <c r="Q45" s="2157">
        <v>1</v>
      </c>
      <c r="R45" s="281"/>
      <c r="S45" s="1355" t="str">
        <f>$J45</f>
        <v>...1.1</v>
      </c>
      <c r="T45" s="204" t="s">
        <v>1471</v>
      </c>
      <c r="U45" s="218"/>
      <c r="V45" s="2224"/>
      <c r="W45" s="2225"/>
      <c r="X45" s="2225"/>
      <c r="Y45" s="2225"/>
      <c r="Z45" s="2225"/>
      <c r="AA45" s="2225"/>
      <c r="AB45" s="2226"/>
      <c r="AC45" s="2224"/>
      <c r="AD45" s="2225"/>
      <c r="AE45" s="2225"/>
      <c r="AF45" s="2225"/>
      <c r="AG45" s="2225"/>
      <c r="AH45" s="2225"/>
      <c r="AI45" s="2225"/>
      <c r="AJ45" s="2226"/>
      <c r="AK45" s="1194" t="s">
        <v>1680</v>
      </c>
      <c r="AM45" s="428"/>
      <c r="AN45" s="428" t="str">
        <f t="shared" si="1"/>
        <v>Группа потребителей</v>
      </c>
      <c r="AO45" s="428"/>
      <c r="AP45" s="428"/>
    </row>
    <row r="46" spans="1:42" ht="23.25" customHeight="1">
      <c r="A46" s="1244" t="s">
        <v>263</v>
      </c>
      <c r="B46" s="1244" t="s">
        <v>264</v>
      </c>
      <c r="C46" s="1244" t="s">
        <v>265</v>
      </c>
      <c r="D46" s="1244" t="s">
        <v>2116</v>
      </c>
      <c r="E46" s="2236"/>
      <c r="F46" s="2236"/>
      <c r="G46" s="2236"/>
      <c r="H46" s="2236"/>
      <c r="I46" s="2238"/>
      <c r="J46" s="2238"/>
      <c r="K46" s="2237" t="str">
        <f>J45&amp;".1"</f>
        <v>...1.1.1</v>
      </c>
      <c r="L46" s="1245"/>
      <c r="P46" s="2157"/>
      <c r="Q46" s="2157"/>
      <c r="R46" s="281">
        <v>1</v>
      </c>
      <c r="S46" s="1355" t="str">
        <f>$K46</f>
        <v>...1.1.1</v>
      </c>
      <c r="T46" s="1306"/>
      <c r="U46" s="218"/>
      <c r="V46" s="1671"/>
      <c r="W46" s="1671"/>
      <c r="X46" s="1672"/>
      <c r="Y46" s="2233"/>
      <c r="Z46" s="2232" t="s">
        <v>66</v>
      </c>
      <c r="AA46" s="2233"/>
      <c r="AB46" s="2232" t="s">
        <v>66</v>
      </c>
      <c r="AC46" s="1667"/>
      <c r="AD46" s="1667"/>
      <c r="AE46" s="1669"/>
      <c r="AF46" s="2239"/>
      <c r="AG46" s="2031" t="s">
        <v>66</v>
      </c>
      <c r="AH46" s="2241"/>
      <c r="AI46" s="2031" t="s">
        <v>56</v>
      </c>
      <c r="AJ46" s="1706"/>
      <c r="AK46" s="233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9" t="e">
        <f ca="1">STRCHECKDATE(V47:AJ47)</f>
        <v>#NAME?</v>
      </c>
      <c r="AM46" s="428"/>
      <c r="AN46" s="428" t="str">
        <f t="shared" si="1"/>
        <v/>
      </c>
      <c r="AO46" s="428"/>
      <c r="AP46" s="428"/>
    </row>
    <row r="47" spans="1:42" ht="0" hidden="1" customHeight="1">
      <c r="A47" s="1244" t="s">
        <v>263</v>
      </c>
      <c r="B47" s="1244" t="s">
        <v>264</v>
      </c>
      <c r="C47" s="1244" t="s">
        <v>265</v>
      </c>
      <c r="D47" s="1244" t="s">
        <v>2116</v>
      </c>
      <c r="E47" s="2236"/>
      <c r="F47" s="2236"/>
      <c r="G47" s="2236"/>
      <c r="H47" s="2236"/>
      <c r="I47" s="2238"/>
      <c r="J47" s="2238"/>
      <c r="K47" s="2237"/>
      <c r="L47" s="1245"/>
      <c r="P47" s="2157"/>
      <c r="Q47" s="2157"/>
      <c r="R47" s="281"/>
      <c r="S47" s="1352"/>
      <c r="T47" s="218"/>
      <c r="U47" s="218"/>
      <c r="V47" s="1671"/>
      <c r="W47" s="1671"/>
      <c r="X47" s="1670" t="str">
        <f>Y46&amp;"-"&amp;AA46</f>
        <v>-</v>
      </c>
      <c r="Y47" s="2232"/>
      <c r="Z47" s="2232"/>
      <c r="AA47" s="2232"/>
      <c r="AB47" s="2232"/>
      <c r="AC47" s="1668"/>
      <c r="AD47" s="1668"/>
      <c r="AE47" s="1670" t="str">
        <f>AF46&amp;"-"&amp;AH46</f>
        <v>-</v>
      </c>
      <c r="AF47" s="2240"/>
      <c r="AG47" s="2031"/>
      <c r="AH47" s="2242"/>
      <c r="AI47" s="2031"/>
      <c r="AJ47" s="1707"/>
      <c r="AK47" s="2333"/>
      <c r="AM47" s="428"/>
      <c r="AN47" s="428" t="str">
        <f t="shared" si="1"/>
        <v/>
      </c>
      <c r="AO47" s="428"/>
      <c r="AP47" s="428"/>
    </row>
    <row r="48" spans="1:42" ht="21" customHeight="1">
      <c r="A48" s="1244" t="s">
        <v>263</v>
      </c>
      <c r="B48" s="1244" t="s">
        <v>264</v>
      </c>
      <c r="C48" s="1244" t="s">
        <v>265</v>
      </c>
      <c r="D48" s="1244" t="s">
        <v>2116</v>
      </c>
      <c r="E48" s="2236"/>
      <c r="F48" s="2236"/>
      <c r="G48" s="2236"/>
      <c r="H48" s="2236"/>
      <c r="I48" s="2238"/>
      <c r="J48" s="2237"/>
      <c r="K48" s="1244"/>
      <c r="L48" s="1245"/>
      <c r="P48" s="2157"/>
      <c r="Q48" s="2157"/>
      <c r="R48" s="280"/>
      <c r="S48" s="1161"/>
      <c r="T48" s="205" t="s">
        <v>1681</v>
      </c>
      <c r="U48" s="294"/>
      <c r="V48" s="294"/>
      <c r="W48" s="294"/>
      <c r="X48" s="294"/>
      <c r="Y48" s="294"/>
      <c r="Z48" s="294"/>
      <c r="AA48" s="294"/>
      <c r="AB48" s="294"/>
      <c r="AC48" s="294"/>
      <c r="AD48" s="294"/>
      <c r="AE48" s="294"/>
      <c r="AF48" s="294"/>
      <c r="AG48" s="294"/>
      <c r="AH48" s="294"/>
      <c r="AI48" s="294"/>
      <c r="AJ48" s="294"/>
      <c r="AK48" s="1140" t="s">
        <v>1682</v>
      </c>
      <c r="AM48" s="428"/>
      <c r="AN48" s="428" t="str">
        <f t="shared" si="1"/>
        <v>Добавить значение признака дифференциации</v>
      </c>
      <c r="AO48" s="428"/>
      <c r="AP48" s="428"/>
    </row>
    <row r="49" spans="1:42" ht="21" customHeight="1">
      <c r="A49" s="1244" t="s">
        <v>263</v>
      </c>
      <c r="B49" s="1244" t="s">
        <v>264</v>
      </c>
      <c r="C49" s="1244" t="s">
        <v>265</v>
      </c>
      <c r="D49" s="1244" t="s">
        <v>2116</v>
      </c>
      <c r="E49" s="2236"/>
      <c r="F49" s="2236"/>
      <c r="G49" s="2236"/>
      <c r="H49" s="2236"/>
      <c r="I49" s="2237"/>
      <c r="J49" s="1244"/>
      <c r="K49" s="1244"/>
      <c r="L49" s="1245"/>
      <c r="P49" s="2157"/>
      <c r="Q49" s="1343"/>
      <c r="R49" s="280"/>
      <c r="S49" s="1161"/>
      <c r="T49" s="291" t="s">
        <v>1476</v>
      </c>
      <c r="U49" s="294"/>
      <c r="V49" s="294"/>
      <c r="W49" s="294"/>
      <c r="X49" s="294"/>
      <c r="Y49" s="294"/>
      <c r="Z49" s="294"/>
      <c r="AA49" s="294"/>
      <c r="AB49" s="293"/>
      <c r="AC49" s="294"/>
      <c r="AD49" s="294"/>
      <c r="AE49" s="294"/>
      <c r="AF49" s="294"/>
      <c r="AG49" s="294"/>
      <c r="AH49" s="294"/>
      <c r="AI49" s="293"/>
      <c r="AJ49" s="294"/>
      <c r="AK49" s="1307"/>
      <c r="AM49" s="428"/>
      <c r="AN49" s="428" t="str">
        <f t="shared" si="1"/>
        <v>Добавить группу потребителей</v>
      </c>
      <c r="AO49" s="428"/>
      <c r="AP49" s="428"/>
    </row>
    <row r="50" spans="1:42" ht="21" customHeight="1">
      <c r="A50" s="1244" t="s">
        <v>263</v>
      </c>
      <c r="B50" s="1244" t="s">
        <v>264</v>
      </c>
      <c r="C50" s="1244" t="s">
        <v>265</v>
      </c>
      <c r="D50" s="1244" t="s">
        <v>2116</v>
      </c>
      <c r="E50" s="2236"/>
      <c r="F50" s="2236"/>
      <c r="G50" s="2236"/>
      <c r="H50" s="2235"/>
      <c r="I50" s="1244"/>
      <c r="J50" s="1244"/>
      <c r="K50" s="1244"/>
      <c r="L50" s="1245"/>
      <c r="M50" s="1246"/>
      <c r="N50" s="1246"/>
      <c r="O50" s="464"/>
      <c r="P50" s="284"/>
      <c r="Q50" s="303"/>
      <c r="R50" s="279"/>
      <c r="S50" s="1161"/>
      <c r="T50" s="299" t="s">
        <v>1683</v>
      </c>
      <c r="U50" s="294"/>
      <c r="V50" s="294"/>
      <c r="W50" s="294"/>
      <c r="X50" s="294"/>
      <c r="Y50" s="294"/>
      <c r="Z50" s="294"/>
      <c r="AA50" s="294"/>
      <c r="AB50" s="293"/>
      <c r="AC50" s="294"/>
      <c r="AD50" s="294"/>
      <c r="AE50" s="294"/>
      <c r="AF50" s="294"/>
      <c r="AG50" s="294"/>
      <c r="AH50" s="294"/>
      <c r="AI50" s="293"/>
      <c r="AJ50" s="294"/>
      <c r="AK50" s="221"/>
      <c r="AM50" s="428"/>
      <c r="AN50" s="428" t="str">
        <f t="shared" si="1"/>
        <v>Добавить наименование признака дифференциации</v>
      </c>
      <c r="AO50" s="428"/>
      <c r="AP50" s="428"/>
    </row>
    <row r="51" spans="1:42" s="1772" customFormat="1" ht="0.75" customHeight="1">
      <c r="A51" s="1228" t="s">
        <v>263</v>
      </c>
      <c r="B51" s="1228" t="s">
        <v>264</v>
      </c>
      <c r="C51" s="1200"/>
      <c r="D51" s="1200"/>
      <c r="E51" s="2236"/>
      <c r="F51" s="2235"/>
      <c r="G51" s="1200"/>
      <c r="H51" s="1200"/>
      <c r="I51" s="1200"/>
      <c r="J51" s="1200"/>
      <c r="K51" s="1200"/>
      <c r="L51" s="1356"/>
      <c r="M51" s="1207"/>
      <c r="N51" s="1207"/>
      <c r="P51" s="1202"/>
      <c r="Q51" s="1203"/>
      <c r="R51" s="1202"/>
      <c r="S51" s="1208"/>
      <c r="T51" s="1211" t="s">
        <v>1437</v>
      </c>
      <c r="U51" s="1210"/>
      <c r="V51" s="1210"/>
      <c r="W51" s="1210"/>
      <c r="X51" s="1210"/>
      <c r="Y51" s="1210"/>
      <c r="Z51" s="1210"/>
      <c r="AA51" s="1210"/>
      <c r="AB51" s="1210"/>
      <c r="AC51" s="1210"/>
      <c r="AD51" s="1210"/>
      <c r="AE51" s="1210"/>
      <c r="AF51" s="1210"/>
      <c r="AG51" s="1210"/>
      <c r="AH51" s="1210"/>
      <c r="AI51" s="1210"/>
      <c r="AJ51" s="1210"/>
      <c r="AK51" s="1210"/>
      <c r="AM51" s="696"/>
      <c r="AN51" s="696" t="str">
        <f t="shared" si="1"/>
        <v>Добавить централизованную систему для дифференциации</v>
      </c>
      <c r="AO51" s="696"/>
      <c r="AP51" s="696"/>
    </row>
    <row r="52" spans="1:42" s="1772" customFormat="1" ht="0.75" customHeight="1">
      <c r="A52" s="1228" t="s">
        <v>263</v>
      </c>
      <c r="B52" s="1228"/>
      <c r="C52" s="1228"/>
      <c r="D52" s="1228"/>
      <c r="E52" s="2235"/>
      <c r="F52" s="1228"/>
      <c r="G52" s="1228"/>
      <c r="H52" s="1228"/>
      <c r="I52" s="1228"/>
      <c r="J52" s="1228"/>
      <c r="K52" s="1228"/>
      <c r="L52" s="1231"/>
      <c r="M52" s="1207"/>
      <c r="N52" s="1207"/>
      <c r="O52" s="446"/>
      <c r="P52" s="311"/>
      <c r="Q52" s="1229"/>
      <c r="R52" s="311"/>
      <c r="S52" s="1208"/>
      <c r="T52" s="1211" t="s">
        <v>1438</v>
      </c>
      <c r="U52" s="1210"/>
      <c r="V52" s="1210"/>
      <c r="W52" s="1210"/>
      <c r="X52" s="1210"/>
      <c r="Y52" s="1210"/>
      <c r="Z52" s="1210"/>
      <c r="AA52" s="1210"/>
      <c r="AB52" s="1210"/>
      <c r="AC52" s="1210"/>
      <c r="AD52" s="1210"/>
      <c r="AE52" s="1210"/>
      <c r="AF52" s="1210"/>
      <c r="AG52" s="1210"/>
      <c r="AH52" s="1210"/>
      <c r="AI52" s="1210"/>
      <c r="AJ52" s="1210"/>
      <c r="AK52" s="1210"/>
      <c r="AM52" s="428"/>
      <c r="AN52" s="428" t="str">
        <f t="shared" si="1"/>
        <v>Добавить территорию для дифференциации</v>
      </c>
      <c r="AO52" s="428"/>
      <c r="AP52" s="428"/>
    </row>
    <row r="53" spans="1:42" s="1772" customFormat="1" ht="0.75" customHeight="1">
      <c r="A53" s="1200"/>
      <c r="B53" s="1200"/>
      <c r="C53" s="1200"/>
      <c r="D53" s="1200"/>
      <c r="E53" s="1228"/>
      <c r="F53" s="1200"/>
      <c r="G53" s="1200"/>
      <c r="H53" s="1200"/>
      <c r="I53" s="1200"/>
      <c r="J53" s="1200"/>
      <c r="K53" s="1200"/>
      <c r="L53" s="1356"/>
      <c r="M53" s="1207"/>
      <c r="N53" s="1207"/>
      <c r="P53" s="1202"/>
      <c r="Q53" s="1203"/>
      <c r="R53" s="1202"/>
      <c r="S53" s="1208"/>
      <c r="T53" s="1211" t="s">
        <v>1439</v>
      </c>
      <c r="U53" s="1210"/>
      <c r="V53" s="1210"/>
      <c r="W53" s="1210"/>
      <c r="X53" s="1210"/>
      <c r="Y53" s="1210"/>
      <c r="Z53" s="1210"/>
      <c r="AA53" s="1210"/>
      <c r="AB53" s="1210"/>
      <c r="AC53" s="1210"/>
      <c r="AD53" s="1210"/>
      <c r="AE53" s="1210"/>
      <c r="AF53" s="1210"/>
      <c r="AG53" s="1210"/>
      <c r="AH53" s="1210"/>
      <c r="AI53" s="1210"/>
      <c r="AJ53" s="1210"/>
      <c r="AK53" s="1210"/>
      <c r="AM53" s="696"/>
      <c r="AN53" s="696" t="str">
        <f t="shared" si="1"/>
        <v>Добавить наименование тарифа</v>
      </c>
      <c r="AO53" s="696"/>
      <c r="AP53" s="696"/>
    </row>
    <row r="54" spans="1:42" ht="11.25" customHeight="1">
      <c r="M54" s="1036"/>
      <c r="N54" s="1036"/>
      <c r="O54" s="464"/>
      <c r="P54" s="1031"/>
      <c r="Q54" s="1031"/>
      <c r="R54" s="1031"/>
      <c r="S54" s="1031"/>
      <c r="AL54" s="1031"/>
      <c r="AM54" s="1031"/>
      <c r="AN54" s="1031"/>
      <c r="AO54" s="1031"/>
      <c r="AP54" s="1031"/>
    </row>
    <row r="55" spans="1:42" ht="14.25" customHeight="1">
      <c r="O55" s="464"/>
      <c r="S55" s="1128" t="s">
        <v>1509</v>
      </c>
      <c r="T55" s="2234" t="s">
        <v>2114</v>
      </c>
      <c r="U55" s="2234"/>
      <c r="V55" s="2234"/>
      <c r="W55" s="2234"/>
      <c r="X55" s="2234"/>
      <c r="Y55" s="2234"/>
      <c r="Z55" s="2234"/>
      <c r="AA55" s="2234"/>
      <c r="AB55" s="2234"/>
      <c r="AC55" s="2234"/>
      <c r="AD55" s="2234"/>
      <c r="AE55" s="2234"/>
      <c r="AF55" s="2234"/>
      <c r="AG55" s="2234"/>
      <c r="AH55" s="2234"/>
      <c r="AI55" s="2234"/>
      <c r="AJ55" s="2234"/>
      <c r="AK55" s="2234"/>
    </row>
    <row r="56" spans="1:42" ht="14.25" customHeight="1">
      <c r="O56" s="464"/>
    </row>
    <row r="57" spans="1:42" ht="14.25" customHeight="1">
      <c r="O57" s="464"/>
      <c r="S57" s="1128" t="s">
        <v>1509</v>
      </c>
      <c r="T57" s="2234" t="s">
        <v>2115</v>
      </c>
      <c r="U57" s="2234"/>
      <c r="V57" s="2234"/>
      <c r="W57" s="2234"/>
      <c r="X57" s="2234"/>
      <c r="Y57" s="2234"/>
      <c r="Z57" s="2234"/>
      <c r="AA57" s="2234"/>
      <c r="AB57" s="2234"/>
      <c r="AC57" s="2234"/>
      <c r="AD57" s="2234"/>
      <c r="AE57" s="2234"/>
      <c r="AF57" s="2234"/>
      <c r="AG57" s="2234"/>
      <c r="AH57" s="2234"/>
      <c r="AI57" s="2234"/>
      <c r="AJ57" s="2234"/>
      <c r="AK57" s="2234"/>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759" hidden="1" customWidth="1"/>
    <col min="2" max="2" width="11" style="1759" hidden="1" customWidth="1"/>
    <col min="3" max="3" width="10.5703125" style="1759" hidden="1"/>
    <col min="4" max="4" width="12.85546875" style="1759" hidden="1" customWidth="1"/>
    <col min="5" max="5" width="10" style="1759" hidden="1" customWidth="1"/>
    <col min="6" max="6" width="8.7109375" style="1759" hidden="1" customWidth="1"/>
    <col min="7" max="7" width="7.5703125" style="1759" hidden="1" customWidth="1"/>
    <col min="8" max="8" width="11.42578125" style="1759" hidden="1" customWidth="1"/>
    <col min="9" max="9" width="12" style="1759" hidden="1" customWidth="1"/>
    <col min="10" max="10" width="9.85546875" style="1759" hidden="1" customWidth="1"/>
    <col min="11" max="11" width="11.42578125" style="1759" hidden="1" customWidth="1"/>
    <col min="12" max="12" width="19.140625" style="1758" hidden="1" customWidth="1"/>
    <col min="13" max="14" width="12.28515625" style="1686" hidden="1" customWidth="1"/>
    <col min="15" max="15" width="23.42578125" style="1686" hidden="1" customWidth="1"/>
    <col min="16" max="16" width="3.7109375" style="1686" hidden="1" customWidth="1"/>
    <col min="17" max="17" width="3.7109375" style="1673" hidden="1" customWidth="1"/>
    <col min="18" max="18" width="3.7109375" style="1677" customWidth="1"/>
    <col min="19" max="19" width="12.7109375" style="1727" customWidth="1"/>
    <col min="20" max="20" width="32" style="1846" customWidth="1"/>
    <col min="21" max="21" width="0.140625" style="1846" customWidth="1"/>
    <col min="22" max="25" width="21.7109375" style="1846" hidden="1" customWidth="1"/>
    <col min="26" max="26" width="11.7109375" style="1846" hidden="1" customWidth="1"/>
    <col min="27" max="27" width="3.7109375" style="1846" hidden="1" customWidth="1"/>
    <col min="28" max="28" width="11.7109375" style="1846" hidden="1" customWidth="1"/>
    <col min="29" max="29" width="8.5703125" style="1846" hidden="1" customWidth="1"/>
    <col min="30" max="32" width="3.7109375" style="1846" customWidth="1"/>
    <col min="33" max="33" width="24.7109375" style="1846" customWidth="1"/>
    <col min="34" max="36" width="3.7109375" style="1846" customWidth="1"/>
    <col min="37" max="37" width="24.7109375" style="1846" customWidth="1"/>
    <col min="38" max="40" width="3.7109375" style="1846" customWidth="1"/>
    <col min="41" max="41" width="18.85546875" style="1846" customWidth="1"/>
    <col min="42" max="44" width="3.7109375" style="1846" customWidth="1"/>
    <col min="45" max="45" width="18.85546875" style="1846" customWidth="1"/>
    <col min="46" max="49" width="21.7109375" style="1846" customWidth="1"/>
    <col min="50" max="50" width="11.7109375" style="1846" customWidth="1"/>
    <col min="51" max="51" width="3.7109375" style="1846" customWidth="1"/>
    <col min="52" max="52" width="11.7109375" style="1846" customWidth="1"/>
    <col min="53" max="53" width="8.5703125" style="1846" hidden="1" customWidth="1"/>
    <col min="54" max="54" width="4.7109375" style="1846" customWidth="1"/>
    <col min="55" max="55" width="115.7109375" style="1846" customWidth="1"/>
    <col min="56" max="57" width="10.5703125" style="1772"/>
    <col min="58" max="58" width="11.140625" style="1772" customWidth="1"/>
    <col min="59" max="60" width="10.5703125" style="1772"/>
  </cols>
  <sheetData>
    <row r="1" spans="1:60" ht="14.25" hidden="1" customHeight="1">
      <c r="W1" s="254"/>
      <c r="Y1" s="254"/>
      <c r="Z1" s="254"/>
      <c r="AW1" s="254"/>
      <c r="AX1" s="254"/>
    </row>
    <row r="2" spans="1:60" ht="21" hidden="1" customHeight="1">
      <c r="A2" s="1244"/>
      <c r="B2" s="1244"/>
      <c r="C2" s="1244"/>
      <c r="D2" s="1244"/>
      <c r="E2" s="2235">
        <v>1</v>
      </c>
      <c r="F2" s="1244"/>
      <c r="G2" s="1244"/>
      <c r="H2" s="1244"/>
      <c r="I2" s="1244"/>
      <c r="J2" s="1244"/>
      <c r="K2" s="1244"/>
      <c r="L2" s="1245"/>
      <c r="M2" s="1246"/>
      <c r="N2" s="1246"/>
      <c r="O2" s="1246"/>
      <c r="P2" s="1279"/>
      <c r="Q2" s="771"/>
      <c r="R2" s="279"/>
      <c r="S2" s="1355" t="e">
        <f>INDEX(PT_DIFFERENTIATION_NUM_NTAR,MATCH(A2,PT_DIFFERENTIATION_NTAR_ID,0))</f>
        <v>#N/A</v>
      </c>
      <c r="T2" s="216" t="s">
        <v>124</v>
      </c>
      <c r="U2" s="218"/>
      <c r="V2" s="2230"/>
      <c r="W2" s="2230"/>
      <c r="X2" s="2230"/>
      <c r="Y2" s="2230"/>
      <c r="Z2" s="2230"/>
      <c r="AA2" s="2230"/>
      <c r="AB2" s="2230"/>
      <c r="AC2" s="2231"/>
      <c r="AD2" s="2229" t="e">
        <f>INDEX(PT_DIFFERENTIATION_NTAR,MATCH(A2,PT_DIFFERENTIATION_NTAR_ID,0))</f>
        <v>#N/A</v>
      </c>
      <c r="AE2" s="2230"/>
      <c r="AF2" s="2230"/>
      <c r="AG2" s="2230"/>
      <c r="AH2" s="2230"/>
      <c r="AI2" s="2230"/>
      <c r="AJ2" s="2230"/>
      <c r="AK2" s="2230"/>
      <c r="AL2" s="2230"/>
      <c r="AM2" s="2230"/>
      <c r="AN2" s="2230"/>
      <c r="AO2" s="2230"/>
      <c r="AP2" s="2230"/>
      <c r="AQ2" s="2230"/>
      <c r="AR2" s="2230"/>
      <c r="AS2" s="2230"/>
      <c r="AT2" s="2230"/>
      <c r="AU2" s="2230"/>
      <c r="AV2" s="2230"/>
      <c r="AW2" s="2230"/>
      <c r="AX2" s="2230"/>
      <c r="AY2" s="2230"/>
      <c r="AZ2" s="2230"/>
      <c r="BA2" s="2230"/>
      <c r="BB2" s="2231"/>
      <c r="BC2" s="114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28"/>
      <c r="BF2" s="428" t="str">
        <f t="shared" ref="BF2:BF8" si="0">IF(T2="","",T2)</f>
        <v>Наименование тарифа</v>
      </c>
      <c r="BG2" s="428"/>
      <c r="BH2" s="428"/>
    </row>
    <row r="3" spans="1:60" ht="21" hidden="1" customHeight="1">
      <c r="A3" s="1244"/>
      <c r="B3" s="1244"/>
      <c r="C3" s="1244"/>
      <c r="D3" s="1244"/>
      <c r="E3" s="2236"/>
      <c r="F3" s="2235">
        <v>1</v>
      </c>
      <c r="G3" s="1244"/>
      <c r="H3" s="1244"/>
      <c r="I3" s="1244"/>
      <c r="J3" s="1244"/>
      <c r="K3" s="1244"/>
      <c r="L3" s="1245"/>
      <c r="M3" s="1246"/>
      <c r="N3" s="1246"/>
      <c r="O3" s="1246"/>
      <c r="P3" s="1280"/>
      <c r="Q3" s="1281"/>
      <c r="R3" s="277"/>
      <c r="S3" s="1355" t="e">
        <f>INDEX(PT_DIFFERENTIATION_NUM_TER,MATCH(B3,PT_DIFFERENTIATION_TER_ID,0))</f>
        <v>#N/A</v>
      </c>
      <c r="T3" s="228" t="s">
        <v>1461</v>
      </c>
      <c r="U3" s="218"/>
      <c r="V3" s="2230"/>
      <c r="W3" s="2230"/>
      <c r="X3" s="2230"/>
      <c r="Y3" s="2230"/>
      <c r="Z3" s="2230"/>
      <c r="AA3" s="2230"/>
      <c r="AB3" s="2230"/>
      <c r="AC3" s="2231"/>
      <c r="AD3" s="2229" t="e">
        <f>INDEX(PT_DIFFERENTIATION_TER,MATCH(B3,PT_DIFFERENTIATION_TER_ID,0))</f>
        <v>#N/A</v>
      </c>
      <c r="AE3" s="2230"/>
      <c r="AF3" s="2230"/>
      <c r="AG3" s="2230"/>
      <c r="AH3" s="2230"/>
      <c r="AI3" s="2230"/>
      <c r="AJ3" s="2230"/>
      <c r="AK3" s="2230"/>
      <c r="AL3" s="2230"/>
      <c r="AM3" s="2230"/>
      <c r="AN3" s="2230"/>
      <c r="AO3" s="2230"/>
      <c r="AP3" s="2230"/>
      <c r="AQ3" s="2230"/>
      <c r="AR3" s="2230"/>
      <c r="AS3" s="2230"/>
      <c r="AT3" s="2230"/>
      <c r="AU3" s="2230"/>
      <c r="AV3" s="2230"/>
      <c r="AW3" s="2230"/>
      <c r="AX3" s="2230"/>
      <c r="AY3" s="2230"/>
      <c r="AZ3" s="2230"/>
      <c r="BA3" s="2230"/>
      <c r="BB3" s="2231"/>
      <c r="BC3" s="1140" t="s">
        <v>1462</v>
      </c>
      <c r="BE3" s="428"/>
      <c r="BF3" s="428" t="str">
        <f t="shared" si="0"/>
        <v>Территория действия тарифа</v>
      </c>
      <c r="BG3" s="428"/>
      <c r="BH3" s="428"/>
    </row>
    <row r="4" spans="1:60" ht="33.75" hidden="1" customHeight="1">
      <c r="A4" s="1244"/>
      <c r="B4" s="1244"/>
      <c r="C4" s="1244"/>
      <c r="D4" s="1244"/>
      <c r="E4" s="2236"/>
      <c r="F4" s="2236"/>
      <c r="G4" s="2235">
        <v>1</v>
      </c>
      <c r="H4" s="1244"/>
      <c r="I4" s="1244"/>
      <c r="J4" s="1244"/>
      <c r="K4" s="1244"/>
      <c r="L4" s="1245"/>
      <c r="M4" s="1246"/>
      <c r="N4" s="1246"/>
      <c r="O4" s="1246"/>
      <c r="P4" s="1282"/>
      <c r="Q4" s="1281"/>
      <c r="R4" s="277"/>
      <c r="S4" s="1355" t="e">
        <f>INDEX(PT_DIFFERENTIATION_NUM_CS,MATCH(C4,PT_DIFFERENTIATION_CS_ID,0))</f>
        <v>#N/A</v>
      </c>
      <c r="T4" s="229" t="s">
        <v>2109</v>
      </c>
      <c r="U4" s="218"/>
      <c r="V4" s="2230"/>
      <c r="W4" s="2230"/>
      <c r="X4" s="2230"/>
      <c r="Y4" s="2230"/>
      <c r="Z4" s="2230"/>
      <c r="AA4" s="2230"/>
      <c r="AB4" s="2230"/>
      <c r="AC4" s="2231"/>
      <c r="AD4" s="2229" t="e">
        <f>INDEX(PT_DIFFERENTIATION_CS,MATCH(C4,PT_DIFFERENTIATION_CS_ID,0))</f>
        <v>#N/A</v>
      </c>
      <c r="AE4" s="2230"/>
      <c r="AF4" s="2230"/>
      <c r="AG4" s="2230"/>
      <c r="AH4" s="2230"/>
      <c r="AI4" s="2230"/>
      <c r="AJ4" s="2230"/>
      <c r="AK4" s="2230"/>
      <c r="AL4" s="2230"/>
      <c r="AM4" s="2230"/>
      <c r="AN4" s="2230"/>
      <c r="AO4" s="2230"/>
      <c r="AP4" s="2230"/>
      <c r="AQ4" s="2230"/>
      <c r="AR4" s="2230"/>
      <c r="AS4" s="2230"/>
      <c r="AT4" s="2230"/>
      <c r="AU4" s="2230"/>
      <c r="AV4" s="2230"/>
      <c r="AW4" s="2230"/>
      <c r="AX4" s="2230"/>
      <c r="AY4" s="2230"/>
      <c r="AZ4" s="2230"/>
      <c r="BA4" s="2230"/>
      <c r="BB4" s="2231"/>
      <c r="BC4" s="1140" t="s">
        <v>2110</v>
      </c>
      <c r="BE4" s="428"/>
      <c r="BF4" s="428" t="str">
        <f t="shared" si="0"/>
        <v>Наименование централизованной системы водоотведения</v>
      </c>
      <c r="BG4" s="428"/>
      <c r="BH4" s="428"/>
    </row>
    <row r="5" spans="1:60" s="1772" customFormat="1" ht="14.25" hidden="1" customHeight="1">
      <c r="A5" s="1228"/>
      <c r="B5" s="1228"/>
      <c r="C5" s="1228"/>
      <c r="D5" s="1228"/>
      <c r="E5" s="2236"/>
      <c r="F5" s="2236"/>
      <c r="G5" s="2236"/>
      <c r="H5" s="2235">
        <v>1</v>
      </c>
      <c r="I5" s="1228"/>
      <c r="J5" s="1228"/>
      <c r="K5" s="1228"/>
      <c r="L5" s="1231"/>
      <c r="M5" s="1201"/>
      <c r="N5" s="1201"/>
      <c r="O5" s="1201"/>
      <c r="P5" s="1358"/>
      <c r="Q5" s="1359"/>
      <c r="R5" s="281"/>
      <c r="S5" s="932"/>
      <c r="T5" s="1360"/>
      <c r="U5" s="1264"/>
      <c r="V5" s="2264"/>
      <c r="W5" s="2264"/>
      <c r="X5" s="2264"/>
      <c r="Y5" s="2264"/>
      <c r="Z5" s="2264"/>
      <c r="AA5" s="2264"/>
      <c r="AB5" s="2264"/>
      <c r="AC5" s="2265"/>
      <c r="AD5" s="2263"/>
      <c r="AE5" s="2264"/>
      <c r="AF5" s="2264"/>
      <c r="AG5" s="2264"/>
      <c r="AH5" s="2264"/>
      <c r="AI5" s="2264"/>
      <c r="AJ5" s="2264"/>
      <c r="AK5" s="2264"/>
      <c r="AL5" s="2264"/>
      <c r="AM5" s="2264"/>
      <c r="AN5" s="2264"/>
      <c r="AO5" s="2264"/>
      <c r="AP5" s="2264"/>
      <c r="AQ5" s="2264"/>
      <c r="AR5" s="2264"/>
      <c r="AS5" s="2264"/>
      <c r="AT5" s="2264"/>
      <c r="AU5" s="2264"/>
      <c r="AV5" s="2264"/>
      <c r="AW5" s="2264"/>
      <c r="AX5" s="2264"/>
      <c r="AY5" s="2264"/>
      <c r="AZ5" s="2264"/>
      <c r="BA5" s="2264"/>
      <c r="BB5" s="2265"/>
      <c r="BC5" s="1265" t="s">
        <v>1466</v>
      </c>
      <c r="BE5" s="428"/>
      <c r="BF5" s="428" t="str">
        <f t="shared" si="0"/>
        <v/>
      </c>
      <c r="BG5" s="428"/>
      <c r="BH5" s="428"/>
    </row>
    <row r="6" spans="1:60" s="1772" customFormat="1" ht="14.25" hidden="1" customHeight="1">
      <c r="A6" s="1228"/>
      <c r="B6" s="1228"/>
      <c r="C6" s="1228"/>
      <c r="D6" s="1228"/>
      <c r="E6" s="2236"/>
      <c r="F6" s="2236"/>
      <c r="G6" s="2236"/>
      <c r="H6" s="2236"/>
      <c r="I6" s="2237" t="str">
        <f>S5&amp;".1"</f>
        <v>.1</v>
      </c>
      <c r="J6" s="1228"/>
      <c r="K6" s="1228"/>
      <c r="L6" s="1231" t="s">
        <v>1467</v>
      </c>
      <c r="M6" s="438"/>
      <c r="N6" s="438"/>
      <c r="O6" s="438"/>
      <c r="P6" s="2157">
        <v>1</v>
      </c>
      <c r="Q6" s="1343"/>
      <c r="R6" s="280"/>
      <c r="S6" s="932"/>
      <c r="T6" s="1263"/>
      <c r="U6" s="1264"/>
      <c r="V6" s="2264"/>
      <c r="W6" s="2264"/>
      <c r="X6" s="2264"/>
      <c r="Y6" s="2264"/>
      <c r="Z6" s="2264"/>
      <c r="AA6" s="2264"/>
      <c r="AB6" s="2264"/>
      <c r="AC6" s="2265"/>
      <c r="AD6" s="2263"/>
      <c r="AE6" s="2264"/>
      <c r="AF6" s="2264"/>
      <c r="AG6" s="2264"/>
      <c r="AH6" s="2264"/>
      <c r="AI6" s="2264"/>
      <c r="AJ6" s="2264"/>
      <c r="AK6" s="2264"/>
      <c r="AL6" s="2264"/>
      <c r="AM6" s="2264"/>
      <c r="AN6" s="2264"/>
      <c r="AO6" s="2264"/>
      <c r="AP6" s="2264"/>
      <c r="AQ6" s="2264"/>
      <c r="AR6" s="2264"/>
      <c r="AS6" s="2264"/>
      <c r="AT6" s="2264"/>
      <c r="AU6" s="2264"/>
      <c r="AV6" s="2264"/>
      <c r="AW6" s="2264"/>
      <c r="AX6" s="2264"/>
      <c r="AY6" s="2264"/>
      <c r="AZ6" s="2264"/>
      <c r="BA6" s="2264"/>
      <c r="BB6" s="2265"/>
      <c r="BC6" s="1265"/>
      <c r="BE6" s="428"/>
      <c r="BF6" s="428" t="str">
        <f t="shared" si="0"/>
        <v/>
      </c>
      <c r="BG6" s="428"/>
      <c r="BH6" s="428"/>
    </row>
    <row r="7" spans="1:60" s="1772" customFormat="1" ht="14.25" hidden="1" customHeight="1">
      <c r="A7" s="1228"/>
      <c r="B7" s="1228"/>
      <c r="C7" s="1228"/>
      <c r="D7" s="1228"/>
      <c r="E7" s="2236"/>
      <c r="F7" s="2236"/>
      <c r="G7" s="2236"/>
      <c r="H7" s="2236"/>
      <c r="I7" s="2238"/>
      <c r="J7" s="2237" t="str">
        <f>S5&amp;".1"</f>
        <v>.1</v>
      </c>
      <c r="K7" s="1228"/>
      <c r="L7" s="1231"/>
      <c r="M7" s="438"/>
      <c r="N7" s="438"/>
      <c r="O7" s="438"/>
      <c r="P7" s="2157"/>
      <c r="Q7" s="2157">
        <v>1</v>
      </c>
      <c r="R7" s="281"/>
      <c r="S7" s="932"/>
      <c r="T7" s="1273"/>
      <c r="U7" s="1264"/>
      <c r="V7" s="2264"/>
      <c r="W7" s="2264"/>
      <c r="X7" s="2264"/>
      <c r="Y7" s="2264"/>
      <c r="Z7" s="2264"/>
      <c r="AA7" s="2264"/>
      <c r="AB7" s="2264"/>
      <c r="AC7" s="2265"/>
      <c r="AD7" s="2263"/>
      <c r="AE7" s="2264"/>
      <c r="AF7" s="2264"/>
      <c r="AG7" s="2264"/>
      <c r="AH7" s="2264"/>
      <c r="AI7" s="2264"/>
      <c r="AJ7" s="2264"/>
      <c r="AK7" s="2264"/>
      <c r="AL7" s="2264"/>
      <c r="AM7" s="2264"/>
      <c r="AN7" s="2264"/>
      <c r="AO7" s="2264"/>
      <c r="AP7" s="2264"/>
      <c r="AQ7" s="2264"/>
      <c r="AR7" s="2264"/>
      <c r="AS7" s="2264"/>
      <c r="AT7" s="2264"/>
      <c r="AU7" s="2264"/>
      <c r="AV7" s="2264"/>
      <c r="AW7" s="2264"/>
      <c r="AX7" s="2264"/>
      <c r="AY7" s="2264"/>
      <c r="AZ7" s="2264"/>
      <c r="BA7" s="2264"/>
      <c r="BB7" s="2265"/>
      <c r="BC7" s="1265"/>
      <c r="BE7" s="428"/>
      <c r="BF7" s="428" t="str">
        <f t="shared" si="0"/>
        <v/>
      </c>
      <c r="BG7" s="428"/>
      <c r="BH7" s="428"/>
    </row>
    <row r="8" spans="1:60" ht="11.25" hidden="1" customHeight="1">
      <c r="A8" s="1244"/>
      <c r="B8" s="1244"/>
      <c r="C8" s="1244"/>
      <c r="D8" s="1244"/>
      <c r="E8" s="2236"/>
      <c r="F8" s="2236"/>
      <c r="G8" s="2236"/>
      <c r="H8" s="2236"/>
      <c r="I8" s="2238"/>
      <c r="J8" s="2238"/>
      <c r="K8" s="2237" t="e">
        <f>S4&amp;".1"</f>
        <v>#N/A</v>
      </c>
      <c r="L8" s="1245"/>
      <c r="P8" s="2157"/>
      <c r="Q8" s="2157"/>
      <c r="R8" s="2289">
        <v>1</v>
      </c>
      <c r="S8" s="2286" t="e">
        <f>$K8</f>
        <v>#N/A</v>
      </c>
      <c r="T8" s="2336"/>
      <c r="U8" s="218"/>
      <c r="V8" s="1667"/>
      <c r="W8" s="1669"/>
      <c r="X8" s="1667"/>
      <c r="Y8" s="1669"/>
      <c r="Z8" s="1593"/>
      <c r="AA8" s="1332" t="s">
        <v>66</v>
      </c>
      <c r="AB8" s="1593"/>
      <c r="AC8" s="1332" t="s">
        <v>66</v>
      </c>
      <c r="AD8" s="2093" t="s">
        <v>66</v>
      </c>
      <c r="AE8" s="2282"/>
      <c r="AF8" s="2281">
        <v>1</v>
      </c>
      <c r="AG8" s="2335"/>
      <c r="AH8" s="2031" t="s">
        <v>66</v>
      </c>
      <c r="AI8" s="2282"/>
      <c r="AJ8" s="2281">
        <v>1</v>
      </c>
      <c r="AK8" s="2334" t="s">
        <v>17</v>
      </c>
      <c r="AL8" s="2031" t="s">
        <v>66</v>
      </c>
      <c r="AM8" s="2081"/>
      <c r="AN8" s="2281">
        <v>1</v>
      </c>
      <c r="AO8" s="2339"/>
      <c r="AP8" s="2340" t="s">
        <v>66</v>
      </c>
      <c r="AQ8" s="231"/>
      <c r="AR8" s="1348">
        <v>1</v>
      </c>
      <c r="AS8" s="1354" t="s">
        <v>17</v>
      </c>
      <c r="AT8" s="1667"/>
      <c r="AU8" s="1669"/>
      <c r="AV8" s="1667"/>
      <c r="AW8" s="1669"/>
      <c r="AX8" s="1593"/>
      <c r="AY8" s="1332" t="s">
        <v>66</v>
      </c>
      <c r="AZ8" s="1593"/>
      <c r="BA8" s="1332" t="s">
        <v>66</v>
      </c>
      <c r="BB8" s="1675"/>
      <c r="BC8" s="2257" t="s">
        <v>1696</v>
      </c>
      <c r="BE8" s="428"/>
      <c r="BF8" s="428" t="str">
        <f t="shared" si="0"/>
        <v/>
      </c>
      <c r="BG8" s="428"/>
      <c r="BH8" s="428"/>
    </row>
    <row r="9" spans="1:60" ht="11.25" hidden="1" customHeight="1">
      <c r="A9" s="1244"/>
      <c r="B9" s="1244"/>
      <c r="C9" s="1244"/>
      <c r="D9" s="1244"/>
      <c r="E9" s="2236"/>
      <c r="F9" s="2236"/>
      <c r="G9" s="2236"/>
      <c r="H9" s="2236"/>
      <c r="I9" s="2238"/>
      <c r="J9" s="2238"/>
      <c r="K9" s="2237"/>
      <c r="L9" s="1245"/>
      <c r="P9" s="2157"/>
      <c r="Q9" s="2157"/>
      <c r="R9" s="2289"/>
      <c r="S9" s="2287"/>
      <c r="T9" s="2337"/>
      <c r="U9" s="218"/>
      <c r="V9" s="1683"/>
      <c r="W9" s="1689"/>
      <c r="X9" s="1683"/>
      <c r="Y9" s="1689"/>
      <c r="Z9" s="1683"/>
      <c r="AA9" s="1683"/>
      <c r="AB9" s="1683"/>
      <c r="AC9" s="1683"/>
      <c r="AD9" s="2094"/>
      <c r="AE9" s="2282"/>
      <c r="AF9" s="2281"/>
      <c r="AG9" s="2335"/>
      <c r="AH9" s="2031"/>
      <c r="AI9" s="2282"/>
      <c r="AJ9" s="2281"/>
      <c r="AK9" s="2334"/>
      <c r="AL9" s="2031"/>
      <c r="AM9" s="2086"/>
      <c r="AN9" s="2281"/>
      <c r="AO9" s="2339"/>
      <c r="AP9" s="2341"/>
      <c r="AQ9" s="238"/>
      <c r="AR9" s="351"/>
      <c r="AS9" s="351" t="s">
        <v>1697</v>
      </c>
      <c r="AT9" s="1683"/>
      <c r="AU9" s="1689"/>
      <c r="AV9" s="1683"/>
      <c r="AW9" s="1689"/>
      <c r="AX9" s="1683"/>
      <c r="AY9" s="1683"/>
      <c r="AZ9" s="1683"/>
      <c r="BA9" s="1683"/>
      <c r="BB9" s="1688"/>
      <c r="BC9" s="2258"/>
      <c r="BE9" s="428"/>
      <c r="BF9" s="428"/>
      <c r="BG9" s="428"/>
      <c r="BH9" s="428"/>
    </row>
    <row r="10" spans="1:60" ht="11.25" hidden="1" customHeight="1">
      <c r="A10" s="1244"/>
      <c r="B10" s="1244"/>
      <c r="C10" s="1244"/>
      <c r="D10" s="1244"/>
      <c r="E10" s="2236"/>
      <c r="F10" s="2236"/>
      <c r="G10" s="2236"/>
      <c r="H10" s="2236"/>
      <c r="I10" s="2238"/>
      <c r="J10" s="2238"/>
      <c r="K10" s="2237"/>
      <c r="L10" s="1245"/>
      <c r="P10" s="2157"/>
      <c r="Q10" s="2157"/>
      <c r="R10" s="2289"/>
      <c r="S10" s="2287"/>
      <c r="T10" s="2337"/>
      <c r="U10" s="218"/>
      <c r="V10" s="1683"/>
      <c r="W10" s="1689"/>
      <c r="X10" s="1683"/>
      <c r="Y10" s="1689"/>
      <c r="Z10" s="1683"/>
      <c r="AA10" s="1683"/>
      <c r="AB10" s="1683"/>
      <c r="AC10" s="1683"/>
      <c r="AD10" s="2094"/>
      <c r="AE10" s="2282"/>
      <c r="AF10" s="2281"/>
      <c r="AG10" s="2335"/>
      <c r="AH10" s="2031"/>
      <c r="AI10" s="2282"/>
      <c r="AJ10" s="2281"/>
      <c r="AK10" s="2334"/>
      <c r="AL10" s="2031"/>
      <c r="AM10" s="238"/>
      <c r="AN10" s="1361"/>
      <c r="AO10" s="1361" t="s">
        <v>2117</v>
      </c>
      <c r="AP10" s="351"/>
      <c r="AQ10" s="351"/>
      <c r="AR10" s="351"/>
      <c r="AS10" s="1683"/>
      <c r="AT10" s="1683"/>
      <c r="AU10" s="1689"/>
      <c r="AV10" s="1683"/>
      <c r="AW10" s="1689"/>
      <c r="AX10" s="1683"/>
      <c r="AY10" s="1683"/>
      <c r="AZ10" s="1683"/>
      <c r="BA10" s="1683"/>
      <c r="BB10" s="1688"/>
      <c r="BC10" s="2258"/>
      <c r="BE10" s="428"/>
      <c r="BF10" s="428"/>
      <c r="BG10" s="428"/>
      <c r="BH10" s="428"/>
    </row>
    <row r="11" spans="1:60" ht="11.25" hidden="1" customHeight="1">
      <c r="A11" s="1244"/>
      <c r="B11" s="1244"/>
      <c r="C11" s="1244"/>
      <c r="D11" s="1244"/>
      <c r="E11" s="2236"/>
      <c r="F11" s="2236"/>
      <c r="G11" s="2236"/>
      <c r="H11" s="2236"/>
      <c r="I11" s="2238"/>
      <c r="J11" s="2238"/>
      <c r="K11" s="2237"/>
      <c r="L11" s="1245"/>
      <c r="P11" s="2157"/>
      <c r="Q11" s="2157"/>
      <c r="R11" s="2289"/>
      <c r="S11" s="2287"/>
      <c r="T11" s="2337"/>
      <c r="U11" s="218"/>
      <c r="V11" s="1683"/>
      <c r="W11" s="1689"/>
      <c r="X11" s="1683"/>
      <c r="Y11" s="1689"/>
      <c r="Z11" s="1683"/>
      <c r="AA11" s="1683"/>
      <c r="AB11" s="1683"/>
      <c r="AC11" s="1683"/>
      <c r="AD11" s="2094"/>
      <c r="AE11" s="2282"/>
      <c r="AF11" s="2281"/>
      <c r="AG11" s="2335"/>
      <c r="AH11" s="2031"/>
      <c r="AI11" s="212"/>
      <c r="AJ11" s="350"/>
      <c r="AK11" s="233" t="s">
        <v>2118</v>
      </c>
      <c r="AL11" s="1683"/>
      <c r="AM11" s="1683"/>
      <c r="AN11" s="1683"/>
      <c r="AO11" s="1683"/>
      <c r="AP11" s="1683"/>
      <c r="AQ11" s="1683"/>
      <c r="AR11" s="1683"/>
      <c r="AS11" s="1683"/>
      <c r="AT11" s="1683"/>
      <c r="AU11" s="1689"/>
      <c r="AV11" s="1683"/>
      <c r="AW11" s="1689"/>
      <c r="AX11" s="1683"/>
      <c r="AY11" s="1683"/>
      <c r="AZ11" s="1683"/>
      <c r="BA11" s="1683"/>
      <c r="BB11" s="1688"/>
      <c r="BC11" s="2258"/>
      <c r="BE11" s="428"/>
      <c r="BF11" s="428"/>
      <c r="BG11" s="428"/>
      <c r="BH11" s="428"/>
    </row>
    <row r="12" spans="1:60" ht="11.25" hidden="1" customHeight="1">
      <c r="A12" s="1244"/>
      <c r="B12" s="1244"/>
      <c r="C12" s="1244"/>
      <c r="D12" s="1244"/>
      <c r="E12" s="2236"/>
      <c r="F12" s="2236"/>
      <c r="G12" s="2236"/>
      <c r="H12" s="2236"/>
      <c r="I12" s="2238"/>
      <c r="J12" s="2238"/>
      <c r="K12" s="2237"/>
      <c r="L12" s="1245"/>
      <c r="P12" s="2157"/>
      <c r="Q12" s="2157"/>
      <c r="R12" s="2289"/>
      <c r="S12" s="2288"/>
      <c r="T12" s="2338"/>
      <c r="U12" s="218"/>
      <c r="V12" s="1683"/>
      <c r="W12" s="1684" t="str">
        <f>Z8&amp;"-"&amp;AB8</f>
        <v>-</v>
      </c>
      <c r="X12" s="1683"/>
      <c r="Y12" s="1684" t="str">
        <f>AB8&amp;"-"&amp;AD8</f>
        <v>-да</v>
      </c>
      <c r="Z12" s="1683"/>
      <c r="AA12" s="1683"/>
      <c r="AB12" s="1683"/>
      <c r="AC12" s="1683"/>
      <c r="AD12" s="2036"/>
      <c r="AE12" s="232"/>
      <c r="AF12" s="234"/>
      <c r="AG12" s="351" t="s">
        <v>1700</v>
      </c>
      <c r="AH12" s="1683"/>
      <c r="AI12" s="1683"/>
      <c r="AJ12" s="1683"/>
      <c r="AK12" s="1683"/>
      <c r="AL12" s="1683"/>
      <c r="AM12" s="1683"/>
      <c r="AN12" s="1683"/>
      <c r="AO12" s="1683"/>
      <c r="AP12" s="1683"/>
      <c r="AQ12" s="1683"/>
      <c r="AR12" s="1683"/>
      <c r="AS12" s="1683"/>
      <c r="AT12" s="1683"/>
      <c r="AU12" s="1684" t="str">
        <f>AX8&amp;"-"&amp;AZ8</f>
        <v>-</v>
      </c>
      <c r="AV12" s="1683"/>
      <c r="AW12" s="1684" t="str">
        <f>AZ8&amp;"-"&amp;BB8</f>
        <v>-</v>
      </c>
      <c r="AX12" s="1683"/>
      <c r="AY12" s="1683"/>
      <c r="AZ12" s="1683"/>
      <c r="BA12" s="1683"/>
      <c r="BB12" s="1691" t="str">
        <f>BE8&amp;"-"&amp;BG8</f>
        <v>-</v>
      </c>
      <c r="BC12" s="2258"/>
      <c r="BE12" s="428"/>
      <c r="BF12" s="428" t="str">
        <f t="shared" ref="BF12:BF18" si="1">IF(T12="","",T12)</f>
        <v/>
      </c>
      <c r="BG12" s="428"/>
      <c r="BH12" s="428"/>
    </row>
    <row r="13" spans="1:60" ht="11.25" hidden="1" customHeight="1">
      <c r="A13" s="1244"/>
      <c r="B13" s="1244"/>
      <c r="C13" s="1244"/>
      <c r="D13" s="1244"/>
      <c r="E13" s="2236"/>
      <c r="F13" s="2236"/>
      <c r="G13" s="2236"/>
      <c r="H13" s="2236"/>
      <c r="I13" s="2238"/>
      <c r="J13" s="2237"/>
      <c r="K13" s="1244"/>
      <c r="L13" s="1245"/>
      <c r="P13" s="2157"/>
      <c r="Q13" s="2157"/>
      <c r="R13" s="280"/>
      <c r="S13" s="1161"/>
      <c r="T13" s="205" t="s">
        <v>1541</v>
      </c>
      <c r="U13" s="294"/>
      <c r="V13" s="294"/>
      <c r="W13" s="294"/>
      <c r="X13" s="294"/>
      <c r="Y13" s="294"/>
      <c r="Z13" s="294"/>
      <c r="AA13" s="294"/>
      <c r="AB13" s="294"/>
      <c r="AC13" s="294"/>
      <c r="AD13" s="1366"/>
      <c r="AE13" s="294"/>
      <c r="AF13" s="294"/>
      <c r="AG13" s="294"/>
      <c r="AH13" s="294"/>
      <c r="AI13" s="294"/>
      <c r="AJ13" s="294"/>
      <c r="AK13" s="294"/>
      <c r="AL13" s="294"/>
      <c r="AM13" s="294"/>
      <c r="AN13" s="294"/>
      <c r="AO13" s="294"/>
      <c r="AP13" s="294"/>
      <c r="AQ13" s="294"/>
      <c r="AR13" s="294"/>
      <c r="AS13" s="294"/>
      <c r="AT13" s="294"/>
      <c r="AU13" s="294"/>
      <c r="AV13" s="294"/>
      <c r="AW13" s="294"/>
      <c r="AX13" s="294"/>
      <c r="AY13" s="294"/>
      <c r="AZ13" s="294"/>
      <c r="BA13" s="294"/>
      <c r="BB13" s="251"/>
      <c r="BC13" s="2259"/>
      <c r="BE13" s="428"/>
      <c r="BF13" s="428" t="str">
        <f t="shared" si="1"/>
        <v>Добавить строку</v>
      </c>
      <c r="BG13" s="428"/>
      <c r="BH13" s="428"/>
    </row>
    <row r="14" spans="1:60" s="1772" customFormat="1" ht="14.25" hidden="1" customHeight="1">
      <c r="A14" s="1228"/>
      <c r="B14" s="1228"/>
      <c r="C14" s="1228"/>
      <c r="D14" s="1228"/>
      <c r="E14" s="2236"/>
      <c r="F14" s="2236"/>
      <c r="G14" s="2236"/>
      <c r="H14" s="2236"/>
      <c r="I14" s="2237"/>
      <c r="J14" s="1228"/>
      <c r="K14" s="1228"/>
      <c r="L14" s="1231"/>
      <c r="M14" s="438"/>
      <c r="N14" s="438"/>
      <c r="O14" s="438"/>
      <c r="P14" s="2157"/>
      <c r="Q14" s="1343"/>
      <c r="R14" s="280"/>
      <c r="S14" s="1266"/>
      <c r="T14" s="1267"/>
      <c r="U14" s="1268"/>
      <c r="V14" s="1268"/>
      <c r="W14" s="1268"/>
      <c r="X14" s="1268"/>
      <c r="Y14" s="1268"/>
      <c r="Z14" s="1268"/>
      <c r="AA14" s="1268"/>
      <c r="AB14" s="1268"/>
      <c r="AC14" s="1268"/>
      <c r="AD14" s="1268"/>
      <c r="AE14" s="1268"/>
      <c r="AF14" s="1268"/>
      <c r="AG14" s="1268"/>
      <c r="AH14" s="1268"/>
      <c r="AI14" s="1268"/>
      <c r="AJ14" s="1268"/>
      <c r="AK14" s="1268"/>
      <c r="AL14" s="1268"/>
      <c r="AM14" s="1268"/>
      <c r="AN14" s="1268"/>
      <c r="AO14" s="1268"/>
      <c r="AP14" s="1268"/>
      <c r="AQ14" s="1268"/>
      <c r="AR14" s="1268"/>
      <c r="AS14" s="1268"/>
      <c r="AT14" s="1268"/>
      <c r="AU14" s="1268"/>
      <c r="AV14" s="1268"/>
      <c r="AW14" s="1268"/>
      <c r="AX14" s="1268"/>
      <c r="AY14" s="1268"/>
      <c r="AZ14" s="1268"/>
      <c r="BA14" s="1268"/>
      <c r="BB14" s="1268"/>
      <c r="BC14" s="1269"/>
      <c r="BE14" s="428"/>
      <c r="BF14" s="428" t="str">
        <f t="shared" si="1"/>
        <v/>
      </c>
      <c r="BG14" s="428"/>
      <c r="BH14" s="428"/>
    </row>
    <row r="15" spans="1:60" s="1772" customFormat="1" ht="14.25" hidden="1" customHeight="1">
      <c r="A15" s="1228"/>
      <c r="B15" s="1228"/>
      <c r="C15" s="1228"/>
      <c r="D15" s="1228"/>
      <c r="E15" s="2236"/>
      <c r="F15" s="2236"/>
      <c r="G15" s="2236"/>
      <c r="H15" s="2235"/>
      <c r="I15" s="1228"/>
      <c r="J15" s="1228"/>
      <c r="K15" s="1228"/>
      <c r="L15" s="1231"/>
      <c r="M15" s="1201"/>
      <c r="N15" s="1201"/>
      <c r="O15" s="446"/>
      <c r="P15" s="311"/>
      <c r="Q15" s="1229"/>
      <c r="R15" s="1275"/>
      <c r="S15" s="1266"/>
      <c r="T15" s="1267"/>
      <c r="U15" s="1268"/>
      <c r="V15" s="1268"/>
      <c r="W15" s="1268"/>
      <c r="X15" s="1268"/>
      <c r="Y15" s="1268"/>
      <c r="Z15" s="1268"/>
      <c r="AA15" s="1268"/>
      <c r="AB15" s="1268"/>
      <c r="AC15" s="1268"/>
      <c r="AD15" s="1268"/>
      <c r="AE15" s="1268"/>
      <c r="AF15" s="1268"/>
      <c r="AG15" s="1268"/>
      <c r="AH15" s="1268"/>
      <c r="AI15" s="1268"/>
      <c r="AJ15" s="1268"/>
      <c r="AK15" s="1268"/>
      <c r="AL15" s="1268"/>
      <c r="AM15" s="1268"/>
      <c r="AN15" s="1268"/>
      <c r="AO15" s="1268"/>
      <c r="AP15" s="1268"/>
      <c r="AQ15" s="1268"/>
      <c r="AR15" s="1268"/>
      <c r="AS15" s="1268"/>
      <c r="AT15" s="1268"/>
      <c r="AU15" s="1268"/>
      <c r="AV15" s="1268"/>
      <c r="AW15" s="1268"/>
      <c r="AX15" s="1268"/>
      <c r="AY15" s="1268"/>
      <c r="AZ15" s="1268"/>
      <c r="BA15" s="1268"/>
      <c r="BB15" s="1268"/>
      <c r="BC15" s="1269"/>
      <c r="BE15" s="428"/>
      <c r="BF15" s="428" t="str">
        <f t="shared" si="1"/>
        <v/>
      </c>
      <c r="BG15" s="428"/>
      <c r="BH15" s="428"/>
    </row>
    <row r="16" spans="1:60" s="1772" customFormat="1" ht="14.25" hidden="1" customHeight="1">
      <c r="A16" s="1228"/>
      <c r="B16" s="1228"/>
      <c r="C16" s="1228"/>
      <c r="D16" s="1200"/>
      <c r="E16" s="2236"/>
      <c r="F16" s="2236"/>
      <c r="G16" s="2235"/>
      <c r="H16" s="1200"/>
      <c r="I16" s="1200"/>
      <c r="J16" s="1200"/>
      <c r="K16" s="1200"/>
      <c r="L16" s="1356"/>
      <c r="M16" s="1201"/>
      <c r="N16" s="1201"/>
      <c r="P16" s="1202"/>
      <c r="Q16" s="1203"/>
      <c r="R16" s="1202"/>
      <c r="S16" s="1208"/>
      <c r="T16" s="1211"/>
      <c r="U16" s="1210"/>
      <c r="V16" s="1210"/>
      <c r="W16" s="1210"/>
      <c r="X16" s="1210"/>
      <c r="Y16" s="1210"/>
      <c r="Z16" s="1210"/>
      <c r="AA16" s="1210"/>
      <c r="AB16" s="1210"/>
      <c r="AC16" s="1210"/>
      <c r="AD16" s="1210"/>
      <c r="AE16" s="1210"/>
      <c r="AF16" s="1210"/>
      <c r="AG16" s="1210"/>
      <c r="AH16" s="1210"/>
      <c r="AI16" s="1210"/>
      <c r="AJ16" s="1210"/>
      <c r="AK16" s="1210"/>
      <c r="AL16" s="1210"/>
      <c r="AM16" s="1210"/>
      <c r="AN16" s="1210"/>
      <c r="AO16" s="1210"/>
      <c r="AP16" s="1210"/>
      <c r="AQ16" s="1210"/>
      <c r="AR16" s="1210"/>
      <c r="AS16" s="1210"/>
      <c r="AT16" s="1210"/>
      <c r="AU16" s="1210"/>
      <c r="AV16" s="1210"/>
      <c r="AW16" s="1210"/>
      <c r="AX16" s="1210"/>
      <c r="AY16" s="1210"/>
      <c r="AZ16" s="1210"/>
      <c r="BA16" s="1210"/>
      <c r="BB16" s="1210"/>
      <c r="BC16" s="1210"/>
      <c r="BE16" s="696"/>
      <c r="BF16" s="696" t="str">
        <f t="shared" si="1"/>
        <v/>
      </c>
      <c r="BG16" s="696"/>
      <c r="BH16" s="696"/>
    </row>
    <row r="17" spans="1:60" s="1772" customFormat="1" ht="14.25" hidden="1" customHeight="1">
      <c r="A17" s="1228"/>
      <c r="B17" s="1228"/>
      <c r="C17" s="1200"/>
      <c r="D17" s="1200"/>
      <c r="E17" s="2236"/>
      <c r="F17" s="2235"/>
      <c r="G17" s="1200"/>
      <c r="H17" s="1200"/>
      <c r="I17" s="1200"/>
      <c r="J17" s="1200"/>
      <c r="K17" s="1200"/>
      <c r="L17" s="1356"/>
      <c r="M17" s="1207"/>
      <c r="N17" s="1207"/>
      <c r="P17" s="1202"/>
      <c r="Q17" s="1203"/>
      <c r="R17" s="1202"/>
      <c r="S17" s="1208"/>
      <c r="T17" s="1211" t="s">
        <v>1437</v>
      </c>
      <c r="U17" s="1210"/>
      <c r="V17" s="1210"/>
      <c r="W17" s="1210"/>
      <c r="X17" s="1210"/>
      <c r="Y17" s="1210"/>
      <c r="Z17" s="1210"/>
      <c r="AA17" s="1210"/>
      <c r="AB17" s="1210"/>
      <c r="AC17" s="1210"/>
      <c r="AD17" s="1210"/>
      <c r="AE17" s="1210"/>
      <c r="AF17" s="1210"/>
      <c r="AG17" s="1210"/>
      <c r="AH17" s="1210"/>
      <c r="AI17" s="1210"/>
      <c r="AJ17" s="1210"/>
      <c r="AK17" s="1210"/>
      <c r="AL17" s="1210"/>
      <c r="AM17" s="1210"/>
      <c r="AN17" s="1210"/>
      <c r="AO17" s="1210"/>
      <c r="AP17" s="1210"/>
      <c r="AQ17" s="1210"/>
      <c r="AR17" s="1210"/>
      <c r="AS17" s="1210"/>
      <c r="AT17" s="1210"/>
      <c r="AU17" s="1210"/>
      <c r="AV17" s="1210"/>
      <c r="AW17" s="1210"/>
      <c r="AX17" s="1210"/>
      <c r="AY17" s="1210"/>
      <c r="AZ17" s="1210"/>
      <c r="BA17" s="1210"/>
      <c r="BB17" s="1210"/>
      <c r="BC17" s="1210"/>
      <c r="BE17" s="696"/>
      <c r="BF17" s="696" t="str">
        <f t="shared" si="1"/>
        <v>Добавить централизованную систему для дифференциации</v>
      </c>
      <c r="BG17" s="696"/>
      <c r="BH17" s="696"/>
    </row>
    <row r="18" spans="1:60" s="1772" customFormat="1" ht="14.25" hidden="1" customHeight="1">
      <c r="A18" s="1228"/>
      <c r="B18" s="1228"/>
      <c r="C18" s="1228"/>
      <c r="D18" s="1228"/>
      <c r="E18" s="2235"/>
      <c r="F18" s="1228"/>
      <c r="G18" s="1228"/>
      <c r="H18" s="1228"/>
      <c r="I18" s="1228"/>
      <c r="J18" s="1228"/>
      <c r="K18" s="1228"/>
      <c r="L18" s="1231"/>
      <c r="M18" s="1207"/>
      <c r="N18" s="1207"/>
      <c r="O18" s="446"/>
      <c r="P18" s="311"/>
      <c r="Q18" s="1229"/>
      <c r="R18" s="311"/>
      <c r="S18" s="1208"/>
      <c r="T18" s="1211" t="s">
        <v>1438</v>
      </c>
      <c r="U18" s="1210"/>
      <c r="V18" s="1210"/>
      <c r="W18" s="1210"/>
      <c r="X18" s="1210"/>
      <c r="Y18" s="1210"/>
      <c r="Z18" s="1210"/>
      <c r="AA18" s="1210"/>
      <c r="AB18" s="1210"/>
      <c r="AC18" s="1210"/>
      <c r="AD18" s="1210"/>
      <c r="AE18" s="1210"/>
      <c r="AF18" s="1210"/>
      <c r="AG18" s="1210"/>
      <c r="AH18" s="1210"/>
      <c r="AI18" s="1210"/>
      <c r="AJ18" s="1210"/>
      <c r="AK18" s="1210"/>
      <c r="AL18" s="1210"/>
      <c r="AM18" s="1210"/>
      <c r="AN18" s="1210"/>
      <c r="AO18" s="1210"/>
      <c r="AP18" s="1210"/>
      <c r="AQ18" s="1210"/>
      <c r="AR18" s="1210"/>
      <c r="AS18" s="1210"/>
      <c r="AT18" s="1210"/>
      <c r="AU18" s="1210"/>
      <c r="AV18" s="1210"/>
      <c r="AW18" s="1210"/>
      <c r="AX18" s="1210"/>
      <c r="AY18" s="1210"/>
      <c r="AZ18" s="1210"/>
      <c r="BA18" s="1210"/>
      <c r="BB18" s="1210"/>
      <c r="BC18" s="1210"/>
      <c r="BE18" s="428"/>
      <c r="BF18" s="428" t="str">
        <f t="shared" si="1"/>
        <v>Добавить территорию для дифференциации</v>
      </c>
      <c r="BG18" s="428"/>
      <c r="BH18" s="428"/>
    </row>
    <row r="19" spans="1:60" ht="14.25" hidden="1" customHeight="1">
      <c r="AC19" s="254"/>
      <c r="BA19" s="254"/>
    </row>
    <row r="20" spans="1:60" ht="14.25" hidden="1" customHeight="1">
      <c r="AD20" s="1210" t="s">
        <v>56</v>
      </c>
      <c r="AE20" s="1362"/>
      <c r="AF20" s="475">
        <v>1</v>
      </c>
      <c r="AG20" s="1363"/>
      <c r="AH20" s="1210" t="s">
        <v>56</v>
      </c>
      <c r="AI20" s="1362"/>
      <c r="AJ20" s="475">
        <v>1</v>
      </c>
      <c r="AK20" s="1363"/>
      <c r="AL20" s="1210" t="s">
        <v>56</v>
      </c>
      <c r="AM20" s="1364"/>
      <c r="AN20" s="475">
        <v>1</v>
      </c>
      <c r="AO20" s="1365"/>
      <c r="AP20" s="1210" t="s">
        <v>56</v>
      </c>
      <c r="AQ20" s="1364"/>
      <c r="AR20" s="475">
        <v>1</v>
      </c>
      <c r="AS20" s="1365"/>
      <c r="AT20" s="1668"/>
      <c r="AU20" s="1678"/>
      <c r="AV20" s="1668"/>
      <c r="AW20" s="1678"/>
      <c r="AX20" s="1595"/>
      <c r="AY20" s="1347" t="s">
        <v>66</v>
      </c>
      <c r="AZ20" s="1595"/>
      <c r="BA20" s="1347" t="s">
        <v>66</v>
      </c>
    </row>
    <row r="21" spans="1:60" ht="14.25" hidden="1" customHeight="1">
      <c r="BD21" s="424"/>
      <c r="BE21" s="424"/>
      <c r="BF21" s="424"/>
      <c r="BG21" s="424"/>
      <c r="BH21" s="424"/>
    </row>
    <row r="22" spans="1:60" ht="14.25" hidden="1" customHeight="1">
      <c r="O22" s="1248" t="s">
        <v>1478</v>
      </c>
      <c r="Z22" s="1230"/>
      <c r="AB22" s="1230"/>
      <c r="AC22" s="254"/>
      <c r="AX22" s="1230"/>
      <c r="AZ22" s="1230"/>
      <c r="BA22" s="254"/>
      <c r="BD22" s="424"/>
      <c r="BE22" s="424"/>
      <c r="BF22" s="424"/>
      <c r="BG22" s="424"/>
      <c r="BH22" s="424"/>
    </row>
    <row r="23" spans="1:60" ht="14.25" hidden="1" customHeight="1">
      <c r="AC23" s="254"/>
      <c r="BA23" s="254"/>
      <c r="BD23" s="424"/>
      <c r="BE23" s="424"/>
      <c r="BF23" s="424"/>
      <c r="BG23" s="424"/>
      <c r="BH23" s="424"/>
    </row>
    <row r="24" spans="1:60" s="1694" customFormat="1" ht="14.25" hidden="1" customHeight="1">
      <c r="M24" s="1369"/>
      <c r="N24" s="1369"/>
      <c r="O24" s="1370" t="s">
        <v>1479</v>
      </c>
      <c r="P24" s="1369"/>
      <c r="Q24" s="1371"/>
      <c r="R24" s="1371"/>
      <c r="AA24" s="1368" t="s">
        <v>1481</v>
      </c>
      <c r="AC24" s="1368" t="s">
        <v>1482</v>
      </c>
      <c r="AD24" s="1368" t="s">
        <v>1542</v>
      </c>
      <c r="AH24" s="1368" t="s">
        <v>1542</v>
      </c>
      <c r="AK24" s="1368" t="s">
        <v>1701</v>
      </c>
      <c r="AL24" s="1368" t="s">
        <v>1542</v>
      </c>
      <c r="AP24" s="1368" t="s">
        <v>1542</v>
      </c>
      <c r="AY24" s="1368" t="s">
        <v>1481</v>
      </c>
      <c r="BA24" s="1368" t="s">
        <v>1482</v>
      </c>
      <c r="BD24" s="1372"/>
      <c r="BE24" s="1372"/>
      <c r="BF24" s="1372"/>
      <c r="BG24" s="1372"/>
      <c r="BH24" s="1372"/>
    </row>
    <row r="25" spans="1:60" ht="14.25" hidden="1" customHeight="1">
      <c r="O25" s="1245"/>
      <c r="BD25" s="424"/>
      <c r="BE25" s="424"/>
      <c r="BF25" s="424"/>
      <c r="BG25" s="424"/>
      <c r="BH25" s="424"/>
    </row>
    <row r="26" spans="1:60" ht="14.25" hidden="1" customHeight="1">
      <c r="O26" s="1245"/>
      <c r="BD26" s="424"/>
      <c r="BE26" s="424"/>
      <c r="BF26" s="424"/>
      <c r="BG26" s="424"/>
      <c r="BH26" s="424"/>
    </row>
    <row r="27" spans="1:60" ht="14.25" customHeight="1">
      <c r="Q27" s="209"/>
      <c r="R27" s="304"/>
      <c r="S27" s="1158"/>
      <c r="T27" s="289"/>
      <c r="U27" s="289"/>
      <c r="V27" s="437"/>
      <c r="W27" s="437"/>
      <c r="X27" s="437"/>
      <c r="Y27" s="437"/>
      <c r="Z27" s="437"/>
      <c r="AA27" s="437"/>
      <c r="AB27" s="437"/>
      <c r="AC27" s="437"/>
      <c r="AD27" s="437"/>
      <c r="AE27" s="437"/>
      <c r="AF27" s="437"/>
      <c r="AG27" s="437"/>
      <c r="AH27" s="437"/>
      <c r="AI27" s="437"/>
      <c r="AJ27" s="437"/>
      <c r="AK27" s="437"/>
      <c r="AL27" s="437"/>
      <c r="AM27" s="437"/>
      <c r="AN27" s="437"/>
      <c r="AO27" s="437"/>
      <c r="AP27" s="437"/>
      <c r="AQ27" s="437"/>
      <c r="AR27" s="437"/>
      <c r="AS27" s="437"/>
      <c r="AT27" s="437"/>
      <c r="AU27" s="437"/>
      <c r="AV27" s="437"/>
      <c r="AW27" s="437"/>
      <c r="AX27" s="437"/>
      <c r="AY27" s="437"/>
      <c r="AZ27" s="437"/>
      <c r="BA27" s="437"/>
    </row>
    <row r="28" spans="1:60" ht="33.75" customHeight="1">
      <c r="Q28" s="209"/>
      <c r="R28" s="304"/>
      <c r="S28" s="2079" t="str">
        <f>IF(TEMPLATE_GROUP="P",PT_P_FORM_VOTV_5_NAME_FORM,PT_R_FORM_VOTV_17_NAME_FORM)</f>
        <v>Форма 17. Информация о предложении расчетной величины тарифов на подключение к централизованной системе водоотведения &lt;1&gt;</v>
      </c>
      <c r="T28" s="2079"/>
      <c r="U28" s="2079"/>
      <c r="V28" s="2079"/>
      <c r="W28" s="2079"/>
      <c r="X28" s="2079"/>
      <c r="Y28" s="2079"/>
      <c r="Z28" s="2079"/>
      <c r="AA28" s="2079"/>
      <c r="AB28" s="2079"/>
      <c r="AC28" s="2079"/>
      <c r="AD28" s="2079"/>
      <c r="AE28" s="2079"/>
      <c r="AF28" s="2079"/>
      <c r="AG28" s="2079"/>
      <c r="AH28" s="2079"/>
      <c r="AI28" s="2079"/>
      <c r="AJ28" s="2079"/>
      <c r="AK28" s="2079"/>
      <c r="AL28" s="2079"/>
      <c r="AM28" s="2079"/>
      <c r="AN28" s="2079"/>
      <c r="AO28" s="2079"/>
      <c r="AP28" s="2079"/>
      <c r="AQ28" s="2079"/>
      <c r="AR28" s="2079"/>
      <c r="AS28" s="2079"/>
      <c r="AT28" s="2079"/>
      <c r="AU28" s="2079"/>
      <c r="AV28" s="2079"/>
      <c r="AW28" s="2079"/>
      <c r="AX28" s="2079"/>
      <c r="AY28" s="2079"/>
      <c r="AZ28" s="2079"/>
      <c r="BA28" s="1116"/>
    </row>
    <row r="29" spans="1:60" ht="14.25" customHeight="1">
      <c r="Q29" s="209"/>
      <c r="R29" s="304"/>
      <c r="S29" s="2102" t="str">
        <f>IF(org=0,"Не определено",org)</f>
        <v>ООО "Автозаводская ТЭЦ"</v>
      </c>
      <c r="T29" s="2102"/>
      <c r="U29" s="2102"/>
      <c r="V29" s="2102"/>
      <c r="W29" s="2102"/>
      <c r="X29" s="2102"/>
      <c r="Y29" s="2102"/>
      <c r="Z29" s="2102"/>
      <c r="AA29" s="2102"/>
      <c r="AB29" s="2102"/>
      <c r="AC29" s="2102"/>
      <c r="AD29" s="2102"/>
      <c r="AE29" s="2102"/>
      <c r="AF29" s="2102"/>
      <c r="AG29" s="2102"/>
      <c r="AH29" s="2102"/>
      <c r="AI29" s="2102"/>
      <c r="AJ29" s="2102"/>
      <c r="AK29" s="2102"/>
      <c r="AL29" s="2102"/>
      <c r="AM29" s="2102"/>
      <c r="AN29" s="2102"/>
      <c r="AO29" s="2102"/>
      <c r="AP29" s="2102"/>
      <c r="AQ29" s="2102"/>
      <c r="AR29" s="2102"/>
      <c r="AS29" s="2102"/>
      <c r="AT29" s="2102"/>
      <c r="AU29" s="2102"/>
      <c r="AV29" s="2102"/>
      <c r="AW29" s="2102"/>
      <c r="AX29" s="2102"/>
      <c r="AY29" s="2102"/>
      <c r="AZ29" s="2102"/>
      <c r="BA29" s="1116"/>
    </row>
    <row r="30" spans="1:60" ht="14.25" hidden="1" customHeight="1">
      <c r="Q30" s="209"/>
      <c r="R30" s="304"/>
      <c r="S30" s="1158"/>
      <c r="T30" s="289"/>
      <c r="U30" s="289"/>
      <c r="V30" s="248"/>
      <c r="W30" s="248"/>
      <c r="X30" s="248"/>
      <c r="Y30" s="248"/>
      <c r="Z30" s="248"/>
      <c r="AA30" s="248"/>
      <c r="AB30" s="248"/>
      <c r="AC30" s="248"/>
      <c r="AD30" s="248"/>
      <c r="AE30" s="248"/>
      <c r="AF30" s="248"/>
      <c r="AG30" s="248"/>
      <c r="AH30" s="248"/>
      <c r="AI30" s="248"/>
      <c r="AJ30" s="248"/>
      <c r="AK30" s="248"/>
      <c r="AL30" s="248"/>
      <c r="AM30" s="248"/>
      <c r="AN30" s="248"/>
      <c r="AO30" s="248"/>
      <c r="AP30" s="248"/>
      <c r="AQ30" s="248"/>
      <c r="AR30" s="248"/>
      <c r="AS30" s="248"/>
      <c r="AT30" s="248"/>
      <c r="AU30" s="248"/>
      <c r="AV30" s="248"/>
      <c r="AW30" s="248"/>
      <c r="AX30" s="248"/>
      <c r="AY30" s="248"/>
      <c r="AZ30" s="248"/>
      <c r="BA30" s="248"/>
      <c r="BB30" s="437"/>
    </row>
    <row r="31" spans="1:60" s="1950" customFormat="1" ht="25.5" hidden="1" customHeight="1">
      <c r="A31" s="1249"/>
      <c r="B31" s="1249"/>
      <c r="C31" s="1249"/>
      <c r="D31" s="1249"/>
      <c r="E31" s="1249"/>
      <c r="F31" s="1249"/>
      <c r="G31" s="1249"/>
      <c r="H31" s="1249"/>
      <c r="I31" s="1249"/>
      <c r="J31" s="1249"/>
      <c r="K31" s="1249"/>
      <c r="L31" s="1250"/>
      <c r="M31" s="1249"/>
      <c r="N31" s="1249"/>
      <c r="O31" s="1249"/>
      <c r="P31" s="1249"/>
      <c r="Q31" s="1249"/>
      <c r="S31" s="2227" t="s">
        <v>38</v>
      </c>
      <c r="T31" s="2227"/>
      <c r="U31" s="1253"/>
      <c r="V31" s="2228"/>
      <c r="W31" s="2228"/>
      <c r="X31" s="2228"/>
      <c r="Y31" s="2228"/>
      <c r="Z31" s="2228"/>
      <c r="AA31" s="2228"/>
      <c r="AB31" s="2228"/>
      <c r="AC31" s="253"/>
      <c r="AD31" s="2228" t="str">
        <f>IF(TITLE_NAME_OR_PR_CHANGE="",IF(TITLE_NAME_OR_PR="","",TITLE_NAME_OR_PR),TITLE_NAME_OR_PR_CHANGE)</f>
        <v/>
      </c>
      <c r="AE31" s="2228"/>
      <c r="AF31" s="2228"/>
      <c r="AG31" s="2228"/>
      <c r="AH31" s="2228"/>
      <c r="AI31" s="2228"/>
      <c r="AJ31" s="2228"/>
      <c r="AK31" s="2228"/>
      <c r="AL31" s="2228"/>
      <c r="AM31" s="2228"/>
      <c r="AN31" s="2228"/>
      <c r="AO31" s="2228"/>
      <c r="AP31" s="2228"/>
      <c r="AQ31" s="2228"/>
      <c r="AR31" s="2228"/>
      <c r="AS31" s="2228"/>
      <c r="AT31" s="2228"/>
      <c r="AU31" s="2228"/>
      <c r="AV31" s="2228"/>
      <c r="AW31" s="2228"/>
      <c r="AX31" s="2228"/>
      <c r="AY31" s="2228"/>
      <c r="AZ31" s="2228"/>
      <c r="BA31" s="253"/>
      <c r="BB31" s="253"/>
      <c r="BC31" s="199"/>
      <c r="BD31" s="295"/>
      <c r="BE31" s="295"/>
      <c r="BF31" s="295"/>
      <c r="BG31" s="295"/>
      <c r="BH31" s="295"/>
    </row>
    <row r="32" spans="1:60" s="1950" customFormat="1" ht="18.75" hidden="1" customHeight="1">
      <c r="A32" s="1249"/>
      <c r="B32" s="1249"/>
      <c r="C32" s="1249"/>
      <c r="D32" s="1249"/>
      <c r="E32" s="1249"/>
      <c r="F32" s="1249"/>
      <c r="G32" s="1249"/>
      <c r="H32" s="1249"/>
      <c r="I32" s="1249"/>
      <c r="J32" s="1249"/>
      <c r="K32" s="1249"/>
      <c r="L32" s="1250"/>
      <c r="M32" s="1249"/>
      <c r="N32" s="1249"/>
      <c r="O32" s="1249"/>
      <c r="P32" s="1249"/>
      <c r="Q32" s="1249"/>
      <c r="S32" s="2227" t="s">
        <v>1484</v>
      </c>
      <c r="T32" s="2227"/>
      <c r="U32" s="1253"/>
      <c r="V32" s="2228"/>
      <c r="W32" s="2228"/>
      <c r="X32" s="2228"/>
      <c r="Y32" s="2228"/>
      <c r="Z32" s="2228"/>
      <c r="AA32" s="2228"/>
      <c r="AB32" s="2228"/>
      <c r="AC32" s="253"/>
      <c r="AD32" s="2228" t="str">
        <f>IF(TITLE_DATE_CHANGE_PERIOD="",IF(TITLE_DATE_PR="","",TITLE_DATE_PR),TITLE_DATE_CHANGE_PERIOD)</f>
        <v/>
      </c>
      <c r="AE32" s="2228"/>
      <c r="AF32" s="2228"/>
      <c r="AG32" s="2228"/>
      <c r="AH32" s="2228"/>
      <c r="AI32" s="2228"/>
      <c r="AJ32" s="2228"/>
      <c r="AK32" s="2228"/>
      <c r="AL32" s="2228"/>
      <c r="AM32" s="2228"/>
      <c r="AN32" s="2228"/>
      <c r="AO32" s="2228"/>
      <c r="AP32" s="2228"/>
      <c r="AQ32" s="2228"/>
      <c r="AR32" s="2228"/>
      <c r="AS32" s="2228"/>
      <c r="AT32" s="2228"/>
      <c r="AU32" s="2228"/>
      <c r="AV32" s="2228"/>
      <c r="AW32" s="2228"/>
      <c r="AX32" s="2228"/>
      <c r="AY32" s="2228"/>
      <c r="AZ32" s="2228"/>
      <c r="BA32" s="253"/>
      <c r="BB32" s="253"/>
      <c r="BC32" s="199"/>
      <c r="BD32" s="295"/>
      <c r="BE32" s="295"/>
      <c r="BF32" s="295"/>
      <c r="BG32" s="295"/>
      <c r="BH32" s="295"/>
    </row>
    <row r="33" spans="1:60" s="1950" customFormat="1" ht="18.75" hidden="1" customHeight="1">
      <c r="A33" s="1249"/>
      <c r="B33" s="1249"/>
      <c r="C33" s="1249"/>
      <c r="D33" s="1249"/>
      <c r="E33" s="1249"/>
      <c r="F33" s="1249"/>
      <c r="G33" s="1249"/>
      <c r="H33" s="1249"/>
      <c r="I33" s="1249"/>
      <c r="J33" s="1249"/>
      <c r="K33" s="1249"/>
      <c r="L33" s="1250"/>
      <c r="M33" s="1249"/>
      <c r="N33" s="1249"/>
      <c r="O33" s="1249"/>
      <c r="P33" s="1249"/>
      <c r="Q33" s="1249"/>
      <c r="S33" s="2227" t="s">
        <v>1485</v>
      </c>
      <c r="T33" s="2227"/>
      <c r="U33" s="1253"/>
      <c r="V33" s="2228"/>
      <c r="W33" s="2228"/>
      <c r="X33" s="2228"/>
      <c r="Y33" s="2228"/>
      <c r="Z33" s="2228"/>
      <c r="AA33" s="2228"/>
      <c r="AB33" s="2228"/>
      <c r="AC33" s="253"/>
      <c r="AD33" s="2228" t="str">
        <f>IF(TITLE_NUMBER_PR_CHANGE="",IF(TITLE_NUMBER_PR="","",TITLE_NUMBER_PR),TITLE_NUMBER_PR_CHANGE)</f>
        <v/>
      </c>
      <c r="AE33" s="2228"/>
      <c r="AF33" s="2228"/>
      <c r="AG33" s="2228"/>
      <c r="AH33" s="2228"/>
      <c r="AI33" s="2228"/>
      <c r="AJ33" s="2228"/>
      <c r="AK33" s="2228"/>
      <c r="AL33" s="2228"/>
      <c r="AM33" s="2228"/>
      <c r="AN33" s="2228"/>
      <c r="AO33" s="2228"/>
      <c r="AP33" s="2228"/>
      <c r="AQ33" s="2228"/>
      <c r="AR33" s="2228"/>
      <c r="AS33" s="2228"/>
      <c r="AT33" s="2228"/>
      <c r="AU33" s="2228"/>
      <c r="AV33" s="2228"/>
      <c r="AW33" s="2228"/>
      <c r="AX33" s="2228"/>
      <c r="AY33" s="2228"/>
      <c r="AZ33" s="2228"/>
      <c r="BA33" s="253"/>
      <c r="BB33" s="253"/>
      <c r="BC33" s="199"/>
      <c r="BD33" s="295"/>
      <c r="BE33" s="295"/>
      <c r="BF33" s="295"/>
      <c r="BG33" s="295"/>
      <c r="BH33" s="295"/>
    </row>
    <row r="34" spans="1:60" s="1950" customFormat="1" ht="18.75" hidden="1" customHeight="1">
      <c r="A34" s="1249"/>
      <c r="B34" s="1249"/>
      <c r="C34" s="1249"/>
      <c r="D34" s="1249"/>
      <c r="E34" s="1249"/>
      <c r="F34" s="1249"/>
      <c r="G34" s="1249"/>
      <c r="H34" s="1249"/>
      <c r="I34" s="1249"/>
      <c r="J34" s="1249"/>
      <c r="K34" s="1249"/>
      <c r="L34" s="1250"/>
      <c r="M34" s="1249"/>
      <c r="N34" s="1249"/>
      <c r="O34" s="1249"/>
      <c r="P34" s="1249"/>
      <c r="Q34" s="1249"/>
      <c r="S34" s="2227" t="s">
        <v>39</v>
      </c>
      <c r="T34" s="2227"/>
      <c r="U34" s="1253"/>
      <c r="V34" s="2228"/>
      <c r="W34" s="2228"/>
      <c r="X34" s="2228"/>
      <c r="Y34" s="2228"/>
      <c r="Z34" s="2228"/>
      <c r="AA34" s="2228"/>
      <c r="AB34" s="2228"/>
      <c r="AC34" s="253"/>
      <c r="AD34" s="2228" t="str">
        <f>IF(TITLE_IST_PUB_CHANGE="",IF(TITLE_IST_PUB="","",TITLE_IST_PUB),TITLE_IST_PUB_CHANGE)</f>
        <v/>
      </c>
      <c r="AE34" s="2228"/>
      <c r="AF34" s="2228"/>
      <c r="AG34" s="2228"/>
      <c r="AH34" s="2228"/>
      <c r="AI34" s="2228"/>
      <c r="AJ34" s="2228"/>
      <c r="AK34" s="2228"/>
      <c r="AL34" s="2228"/>
      <c r="AM34" s="2228"/>
      <c r="AN34" s="2228"/>
      <c r="AO34" s="2228"/>
      <c r="AP34" s="2228"/>
      <c r="AQ34" s="2228"/>
      <c r="AR34" s="2228"/>
      <c r="AS34" s="2228"/>
      <c r="AT34" s="2228"/>
      <c r="AU34" s="2228"/>
      <c r="AV34" s="2228"/>
      <c r="AW34" s="2228"/>
      <c r="AX34" s="2228"/>
      <c r="AY34" s="2228"/>
      <c r="AZ34" s="2228"/>
      <c r="BA34" s="253"/>
      <c r="BB34" s="253"/>
      <c r="BC34" s="199"/>
      <c r="BD34" s="295"/>
      <c r="BE34" s="295"/>
      <c r="BF34" s="295"/>
      <c r="BG34" s="295"/>
      <c r="BH34" s="295"/>
    </row>
    <row r="35" spans="1:60" ht="14.25" hidden="1" customHeight="1">
      <c r="Q35" s="209"/>
      <c r="R35" s="304"/>
      <c r="S35" s="1158"/>
      <c r="T35" s="289"/>
      <c r="U35" s="289"/>
      <c r="V35" s="248"/>
      <c r="W35" s="248"/>
      <c r="X35" s="248"/>
      <c r="Y35" s="248"/>
      <c r="Z35" s="248"/>
      <c r="AA35" s="248"/>
      <c r="AB35" s="248"/>
      <c r="AC35" s="248"/>
      <c r="AD35" s="248"/>
      <c r="AE35" s="248"/>
      <c r="AF35" s="248"/>
      <c r="AG35" s="248"/>
      <c r="AH35" s="248"/>
      <c r="AI35" s="248"/>
      <c r="AJ35" s="248"/>
      <c r="AK35" s="248"/>
      <c r="AL35" s="248"/>
      <c r="AM35" s="248"/>
      <c r="AN35" s="248"/>
      <c r="AO35" s="248"/>
      <c r="AP35" s="248"/>
      <c r="AQ35" s="248"/>
      <c r="AR35" s="248"/>
      <c r="AS35" s="248"/>
      <c r="AT35" s="248"/>
      <c r="AU35" s="248"/>
      <c r="AV35" s="248"/>
      <c r="AW35" s="248"/>
      <c r="AX35" s="248"/>
      <c r="AY35" s="248"/>
      <c r="AZ35" s="248"/>
      <c r="BA35" s="248"/>
      <c r="BB35" s="437"/>
    </row>
    <row r="36" spans="1:60" s="1950" customFormat="1" ht="18.75" hidden="1" customHeight="1">
      <c r="A36" s="1249"/>
      <c r="B36" s="1249"/>
      <c r="C36" s="1249"/>
      <c r="D36" s="1249"/>
      <c r="E36" s="1249"/>
      <c r="F36" s="1249"/>
      <c r="G36" s="1249"/>
      <c r="H36" s="1249"/>
      <c r="I36" s="1249"/>
      <c r="J36" s="1249"/>
      <c r="K36" s="1249"/>
      <c r="L36" s="1250"/>
      <c r="M36" s="1249"/>
      <c r="N36" s="1249"/>
      <c r="O36" s="1249"/>
      <c r="P36" s="1249"/>
      <c r="Q36" s="1249"/>
      <c r="S36" s="2227" t="s">
        <v>1484</v>
      </c>
      <c r="T36" s="2227"/>
      <c r="U36" s="1253"/>
      <c r="V36" s="2228"/>
      <c r="W36" s="2228"/>
      <c r="X36" s="2228"/>
      <c r="Y36" s="2228"/>
      <c r="Z36" s="2228"/>
      <c r="AA36" s="2228"/>
      <c r="AB36" s="2228"/>
      <c r="AC36" s="253"/>
      <c r="AD36" s="2228" t="str">
        <f>IF(TITLE_DATE_CHANGE_PERIOD="",IF(TITLE_DATE_PR="","",TITLE_DATE_PR),TITLE_DATE_CHANGE_PERIOD)</f>
        <v/>
      </c>
      <c r="AE36" s="2228"/>
      <c r="AF36" s="2228"/>
      <c r="AG36" s="2228"/>
      <c r="AH36" s="2228"/>
      <c r="AI36" s="2228"/>
      <c r="AJ36" s="2228"/>
      <c r="AK36" s="2228"/>
      <c r="AL36" s="2228"/>
      <c r="AM36" s="2228"/>
      <c r="AN36" s="2228"/>
      <c r="AO36" s="2228"/>
      <c r="AP36" s="2228"/>
      <c r="AQ36" s="2228"/>
      <c r="AR36" s="2228"/>
      <c r="AS36" s="2228"/>
      <c r="AT36" s="2228"/>
      <c r="AU36" s="2228"/>
      <c r="AV36" s="2228"/>
      <c r="AW36" s="2228"/>
      <c r="AX36" s="2228"/>
      <c r="AY36" s="2228"/>
      <c r="AZ36" s="2228"/>
      <c r="BA36" s="253"/>
      <c r="BB36" s="253"/>
      <c r="BC36" s="199"/>
      <c r="BD36" s="295"/>
      <c r="BE36" s="295"/>
      <c r="BF36" s="295"/>
      <c r="BG36" s="295"/>
      <c r="BH36" s="295"/>
    </row>
    <row r="37" spans="1:60" s="1950" customFormat="1" ht="18.75" hidden="1" customHeight="1">
      <c r="A37" s="1249"/>
      <c r="B37" s="1249"/>
      <c r="C37" s="1249"/>
      <c r="D37" s="1249"/>
      <c r="E37" s="1249"/>
      <c r="F37" s="1249"/>
      <c r="G37" s="1249"/>
      <c r="H37" s="1249"/>
      <c r="I37" s="1249"/>
      <c r="J37" s="1249"/>
      <c r="K37" s="1249"/>
      <c r="L37" s="1250"/>
      <c r="M37" s="1249"/>
      <c r="N37" s="1249"/>
      <c r="O37" s="1249"/>
      <c r="P37" s="1249"/>
      <c r="Q37" s="1249"/>
      <c r="S37" s="2227" t="s">
        <v>1485</v>
      </c>
      <c r="T37" s="2227"/>
      <c r="U37" s="1253"/>
      <c r="V37" s="2228"/>
      <c r="W37" s="2228"/>
      <c r="X37" s="2228"/>
      <c r="Y37" s="2228"/>
      <c r="Z37" s="2228"/>
      <c r="AA37" s="2228"/>
      <c r="AB37" s="2228"/>
      <c r="AC37" s="253"/>
      <c r="AD37" s="2228" t="str">
        <f>IF(TITLE_NUMBER_PR_CHANGE="",IF(TITLE_NUMBER_PR="","",TITLE_NUMBER_PR),TITLE_NUMBER_PR_CHANGE)</f>
        <v/>
      </c>
      <c r="AE37" s="2228"/>
      <c r="AF37" s="2228"/>
      <c r="AG37" s="2228"/>
      <c r="AH37" s="2228"/>
      <c r="AI37" s="2228"/>
      <c r="AJ37" s="2228"/>
      <c r="AK37" s="2228"/>
      <c r="AL37" s="2228"/>
      <c r="AM37" s="2228"/>
      <c r="AN37" s="2228"/>
      <c r="AO37" s="2228"/>
      <c r="AP37" s="2228"/>
      <c r="AQ37" s="2228"/>
      <c r="AR37" s="2228"/>
      <c r="AS37" s="2228"/>
      <c r="AT37" s="2228"/>
      <c r="AU37" s="2228"/>
      <c r="AV37" s="2228"/>
      <c r="AW37" s="2228"/>
      <c r="AX37" s="2228"/>
      <c r="AY37" s="2228"/>
      <c r="AZ37" s="2228"/>
      <c r="BA37" s="253"/>
      <c r="BB37" s="253"/>
      <c r="BC37" s="199"/>
      <c r="BD37" s="295"/>
      <c r="BE37" s="295"/>
      <c r="BF37" s="295"/>
      <c r="BG37" s="295"/>
      <c r="BH37" s="295"/>
    </row>
    <row r="38" spans="1:60" s="1950" customFormat="1" ht="0" hidden="1" customHeight="1">
      <c r="A38" s="1249"/>
      <c r="B38" s="1249"/>
      <c r="C38" s="1249"/>
      <c r="D38" s="1249"/>
      <c r="E38" s="1249"/>
      <c r="F38" s="1249"/>
      <c r="G38" s="1249"/>
      <c r="H38" s="1249"/>
      <c r="I38" s="1249"/>
      <c r="J38" s="1249"/>
      <c r="K38" s="1249"/>
      <c r="L38" s="1250"/>
      <c r="M38" s="1249"/>
      <c r="N38" s="1249"/>
      <c r="O38" s="1249"/>
      <c r="P38" s="1249"/>
      <c r="Q38" s="1249"/>
      <c r="S38" s="250"/>
      <c r="T38" s="250"/>
      <c r="U38" s="1350"/>
      <c r="V38" s="253"/>
      <c r="W38" s="253"/>
      <c r="X38" s="253"/>
      <c r="Y38" s="253"/>
      <c r="Z38" s="253"/>
      <c r="AA38" s="253"/>
      <c r="AB38" s="253"/>
      <c r="AC38" s="197" t="s">
        <v>1488</v>
      </c>
      <c r="AD38" s="253"/>
      <c r="AE38" s="253"/>
      <c r="AF38" s="253"/>
      <c r="AG38" s="253"/>
      <c r="AH38" s="253"/>
      <c r="AI38" s="253"/>
      <c r="AJ38" s="253"/>
      <c r="AK38" s="253"/>
      <c r="AL38" s="253"/>
      <c r="AM38" s="253"/>
      <c r="AN38" s="253"/>
      <c r="AO38" s="253"/>
      <c r="AP38" s="253"/>
      <c r="AQ38" s="253"/>
      <c r="AR38" s="253"/>
      <c r="AS38" s="253"/>
      <c r="AT38" s="253"/>
      <c r="AU38" s="253"/>
      <c r="AV38" s="253"/>
      <c r="AW38" s="253"/>
      <c r="AX38" s="253"/>
      <c r="AY38" s="253"/>
      <c r="AZ38" s="253"/>
      <c r="BA38" s="197" t="s">
        <v>1488</v>
      </c>
      <c r="BD38" s="295"/>
      <c r="BE38" s="295"/>
      <c r="BF38" s="295"/>
      <c r="BG38" s="295"/>
      <c r="BH38" s="295"/>
    </row>
    <row r="39" spans="1:60" ht="14.25" customHeight="1">
      <c r="Q39" s="209"/>
      <c r="R39" s="304"/>
      <c r="S39" s="1158"/>
      <c r="T39" s="289"/>
      <c r="U39" s="1117"/>
      <c r="V39" s="2246"/>
      <c r="W39" s="2246"/>
      <c r="X39" s="2246"/>
      <c r="Y39" s="2246"/>
      <c r="Z39" s="2246"/>
      <c r="AA39" s="2246"/>
      <c r="AB39" s="2246"/>
      <c r="AC39" s="2246"/>
      <c r="AD39" s="2246"/>
      <c r="AE39" s="2246"/>
      <c r="AF39" s="2246"/>
      <c r="AG39" s="2246"/>
      <c r="AH39" s="2246"/>
      <c r="AI39" s="2246"/>
      <c r="AJ39" s="2246"/>
      <c r="AK39" s="2246"/>
      <c r="AL39" s="2246"/>
      <c r="AM39" s="2246"/>
      <c r="AN39" s="2246"/>
      <c r="AO39" s="2246"/>
      <c r="AP39" s="2246"/>
      <c r="AQ39" s="2246"/>
      <c r="AR39" s="2246"/>
      <c r="AS39" s="2246"/>
      <c r="AT39" s="2246"/>
      <c r="AU39" s="2246"/>
      <c r="AV39" s="2246"/>
      <c r="AW39" s="2246"/>
      <c r="AX39" s="2246"/>
      <c r="AY39" s="2246"/>
      <c r="AZ39" s="2246"/>
      <c r="BA39" s="2246"/>
    </row>
    <row r="40" spans="1:60" ht="14.25" customHeight="1">
      <c r="Q40" s="209"/>
      <c r="R40" s="304"/>
      <c r="S40" s="2021" t="s">
        <v>292</v>
      </c>
      <c r="T40" s="2021"/>
      <c r="U40" s="2021"/>
      <c r="V40" s="2021"/>
      <c r="W40" s="2021"/>
      <c r="X40" s="2021"/>
      <c r="Y40" s="2021"/>
      <c r="Z40" s="2021"/>
      <c r="AA40" s="2021"/>
      <c r="AB40" s="2021"/>
      <c r="AC40" s="2021"/>
      <c r="AD40" s="2021"/>
      <c r="AE40" s="2021"/>
      <c r="AF40" s="2021"/>
      <c r="AG40" s="2021"/>
      <c r="AH40" s="2021"/>
      <c r="AI40" s="2021"/>
      <c r="AJ40" s="2021"/>
      <c r="AK40" s="2021"/>
      <c r="AL40" s="2021"/>
      <c r="AM40" s="2021"/>
      <c r="AN40" s="2021"/>
      <c r="AO40" s="2021"/>
      <c r="AP40" s="2021"/>
      <c r="AQ40" s="2021"/>
      <c r="AR40" s="2021"/>
      <c r="AS40" s="2021"/>
      <c r="AT40" s="2021"/>
      <c r="AU40" s="2021"/>
      <c r="AV40" s="2021"/>
      <c r="AW40" s="2021"/>
      <c r="AX40" s="2021"/>
      <c r="AY40" s="2021"/>
      <c r="AZ40" s="2021"/>
      <c r="BA40" s="2021"/>
      <c r="BB40" s="2021"/>
      <c r="BC40" s="2021" t="s">
        <v>293</v>
      </c>
    </row>
    <row r="41" spans="1:60" ht="14.25" customHeight="1">
      <c r="Q41" s="209"/>
      <c r="R41" s="304"/>
      <c r="S41" s="2247" t="s">
        <v>88</v>
      </c>
      <c r="T41" s="2111" t="s">
        <v>1702</v>
      </c>
      <c r="U41" s="219"/>
      <c r="V41" s="2248" t="s">
        <v>1490</v>
      </c>
      <c r="W41" s="2249"/>
      <c r="X41" s="2249"/>
      <c r="Y41" s="2249"/>
      <c r="Z41" s="2249"/>
      <c r="AA41" s="2249"/>
      <c r="AB41" s="2250"/>
      <c r="AC41" s="2251" t="s">
        <v>1491</v>
      </c>
      <c r="AD41" s="2273" t="s">
        <v>2119</v>
      </c>
      <c r="AE41" s="2262"/>
      <c r="AF41" s="2262"/>
      <c r="AG41" s="2274"/>
      <c r="AH41" s="2273" t="s">
        <v>2120</v>
      </c>
      <c r="AI41" s="2262"/>
      <c r="AJ41" s="2262"/>
      <c r="AK41" s="2274"/>
      <c r="AL41" s="2273" t="s">
        <v>2121</v>
      </c>
      <c r="AM41" s="2262"/>
      <c r="AN41" s="2262"/>
      <c r="AO41" s="2274"/>
      <c r="AP41" s="2273" t="s">
        <v>1706</v>
      </c>
      <c r="AQ41" s="2262"/>
      <c r="AR41" s="2262"/>
      <c r="AS41" s="2274"/>
      <c r="AT41" s="2248" t="s">
        <v>1490</v>
      </c>
      <c r="AU41" s="2249"/>
      <c r="AV41" s="2249"/>
      <c r="AW41" s="2249"/>
      <c r="AX41" s="2249"/>
      <c r="AY41" s="2249"/>
      <c r="AZ41" s="2250"/>
      <c r="BA41" s="2251" t="s">
        <v>1491</v>
      </c>
      <c r="BB41" s="2254" t="s">
        <v>1493</v>
      </c>
      <c r="BC41" s="2021"/>
    </row>
    <row r="42" spans="1:60" ht="33.75" customHeight="1">
      <c r="Q42" s="209"/>
      <c r="R42" s="304"/>
      <c r="S42" s="2247"/>
      <c r="T42" s="2111"/>
      <c r="U42" s="924"/>
      <c r="V42" s="2081" t="s">
        <v>1707</v>
      </c>
      <c r="W42" s="2082"/>
      <c r="X42" s="2081" t="s">
        <v>1708</v>
      </c>
      <c r="Y42" s="2082"/>
      <c r="Z42" s="2081" t="s">
        <v>1709</v>
      </c>
      <c r="AA42" s="2267"/>
      <c r="AB42" s="2082"/>
      <c r="AC42" s="2252"/>
      <c r="AD42" s="2275"/>
      <c r="AE42" s="2276"/>
      <c r="AF42" s="2276"/>
      <c r="AG42" s="2277"/>
      <c r="AH42" s="2275"/>
      <c r="AI42" s="2276"/>
      <c r="AJ42" s="2276"/>
      <c r="AK42" s="2277"/>
      <c r="AL42" s="2275"/>
      <c r="AM42" s="2276"/>
      <c r="AN42" s="2276"/>
      <c r="AO42" s="2277"/>
      <c r="AP42" s="2275"/>
      <c r="AQ42" s="2276"/>
      <c r="AR42" s="2276"/>
      <c r="AS42" s="2277"/>
      <c r="AT42" s="2081" t="s">
        <v>2122</v>
      </c>
      <c r="AU42" s="2082"/>
      <c r="AV42" s="2081" t="s">
        <v>2123</v>
      </c>
      <c r="AW42" s="2082"/>
      <c r="AX42" s="2081" t="s">
        <v>1709</v>
      </c>
      <c r="AY42" s="2267"/>
      <c r="AZ42" s="2082"/>
      <c r="BA42" s="2252"/>
      <c r="BB42" s="2255"/>
      <c r="BC42" s="2021"/>
    </row>
    <row r="43" spans="1:60" ht="14.25" customHeight="1">
      <c r="Q43" s="209"/>
      <c r="R43" s="304"/>
      <c r="S43" s="2247"/>
      <c r="T43" s="2111"/>
      <c r="U43" s="924"/>
      <c r="V43" s="2086"/>
      <c r="W43" s="2087"/>
      <c r="X43" s="2086"/>
      <c r="Y43" s="2087"/>
      <c r="Z43" s="2086"/>
      <c r="AA43" s="2268"/>
      <c r="AB43" s="2087"/>
      <c r="AC43" s="2252"/>
      <c r="AD43" s="2275"/>
      <c r="AE43" s="2276"/>
      <c r="AF43" s="2276"/>
      <c r="AG43" s="2277"/>
      <c r="AH43" s="2275"/>
      <c r="AI43" s="2276"/>
      <c r="AJ43" s="2276"/>
      <c r="AK43" s="2277"/>
      <c r="AL43" s="2275"/>
      <c r="AM43" s="2276"/>
      <c r="AN43" s="2276"/>
      <c r="AO43" s="2277"/>
      <c r="AP43" s="2275"/>
      <c r="AQ43" s="2276"/>
      <c r="AR43" s="2276"/>
      <c r="AS43" s="2277"/>
      <c r="AT43" s="2086"/>
      <c r="AU43" s="2087"/>
      <c r="AV43" s="2086"/>
      <c r="AW43" s="2087"/>
      <c r="AX43" s="2086"/>
      <c r="AY43" s="2268"/>
      <c r="AZ43" s="2087"/>
      <c r="BA43" s="2252"/>
      <c r="BB43" s="2255"/>
      <c r="BC43" s="2021"/>
    </row>
    <row r="44" spans="1:60" ht="14.25" customHeight="1">
      <c r="A44" s="1251"/>
      <c r="B44" s="1251" t="s">
        <v>136</v>
      </c>
      <c r="C44" s="1251" t="s">
        <v>137</v>
      </c>
      <c r="D44" s="1251" t="s">
        <v>138</v>
      </c>
      <c r="E44" s="1245" t="s">
        <v>1498</v>
      </c>
      <c r="F44" s="1245" t="s">
        <v>1499</v>
      </c>
      <c r="G44" s="1245" t="s">
        <v>1500</v>
      </c>
      <c r="H44" s="1245" t="s">
        <v>1501</v>
      </c>
      <c r="I44" s="1245" t="s">
        <v>1502</v>
      </c>
      <c r="J44" s="1245" t="s">
        <v>1503</v>
      </c>
      <c r="K44" s="1245" t="s">
        <v>1504</v>
      </c>
      <c r="L44" s="1245" t="s">
        <v>1479</v>
      </c>
      <c r="Q44" s="209"/>
      <c r="R44" s="304"/>
      <c r="S44" s="2247"/>
      <c r="T44" s="2111"/>
      <c r="U44" s="220"/>
      <c r="V44" s="1341" t="s">
        <v>1550</v>
      </c>
      <c r="W44" s="1341" t="s">
        <v>1551</v>
      </c>
      <c r="X44" s="1341" t="s">
        <v>1550</v>
      </c>
      <c r="Y44" s="1341" t="s">
        <v>1551</v>
      </c>
      <c r="Z44" s="1351" t="s">
        <v>1507</v>
      </c>
      <c r="AA44" s="2117" t="s">
        <v>1508</v>
      </c>
      <c r="AB44" s="2131"/>
      <c r="AC44" s="2253"/>
      <c r="AD44" s="2278"/>
      <c r="AE44" s="2279"/>
      <c r="AF44" s="2279"/>
      <c r="AG44" s="2280"/>
      <c r="AH44" s="2278"/>
      <c r="AI44" s="2279"/>
      <c r="AJ44" s="2279"/>
      <c r="AK44" s="2280"/>
      <c r="AL44" s="2278"/>
      <c r="AM44" s="2279"/>
      <c r="AN44" s="2279"/>
      <c r="AO44" s="2280"/>
      <c r="AP44" s="2278"/>
      <c r="AQ44" s="2279"/>
      <c r="AR44" s="2279"/>
      <c r="AS44" s="2280"/>
      <c r="AT44" s="1341" t="s">
        <v>1550</v>
      </c>
      <c r="AU44" s="1341" t="s">
        <v>1551</v>
      </c>
      <c r="AV44" s="1341" t="s">
        <v>1550</v>
      </c>
      <c r="AW44" s="1341" t="s">
        <v>1551</v>
      </c>
      <c r="AX44" s="1351" t="s">
        <v>1507</v>
      </c>
      <c r="AY44" s="2117" t="s">
        <v>1508</v>
      </c>
      <c r="AZ44" s="2131"/>
      <c r="BA44" s="2253"/>
      <c r="BB44" s="2256"/>
      <c r="BC44" s="2021"/>
    </row>
    <row r="45" spans="1:60" s="1720" customFormat="1" ht="11.25" hidden="1" customHeight="1">
      <c r="A45" s="1251"/>
      <c r="B45" s="1251"/>
      <c r="C45" s="1251"/>
      <c r="D45" s="1251"/>
      <c r="E45" s="1251"/>
      <c r="F45" s="1251"/>
      <c r="G45" s="1251"/>
      <c r="H45" s="1251"/>
      <c r="I45" s="1251"/>
      <c r="J45" s="1251"/>
      <c r="K45" s="1251"/>
      <c r="L45" s="1245"/>
      <c r="M45" s="1243"/>
      <c r="N45" s="1243"/>
      <c r="O45" s="1243"/>
      <c r="P45" s="438"/>
      <c r="Q45" s="1135"/>
      <c r="R45" s="1135">
        <v>1</v>
      </c>
      <c r="S45" s="1160" t="s">
        <v>109</v>
      </c>
      <c r="T45" s="1136" t="s">
        <v>110</v>
      </c>
      <c r="U45" s="1118" t="str">
        <f ca="1">OFFSET(U45,0,-1)</f>
        <v>2</v>
      </c>
      <c r="V45" s="1344">
        <f t="shared" ref="V45:AA45" ca="1" si="2">OFFSET(V45,0,-1)+1</f>
        <v>3</v>
      </c>
      <c r="W45" s="1344">
        <f t="shared" ca="1" si="2"/>
        <v>4</v>
      </c>
      <c r="X45" s="1344">
        <f t="shared" ca="1" si="2"/>
        <v>5</v>
      </c>
      <c r="Y45" s="1344">
        <f t="shared" ca="1" si="2"/>
        <v>6</v>
      </c>
      <c r="Z45" s="1344">
        <f t="shared" ca="1" si="2"/>
        <v>7</v>
      </c>
      <c r="AA45" s="2245">
        <f t="shared" ca="1" si="2"/>
        <v>8</v>
      </c>
      <c r="AB45" s="2245"/>
      <c r="AC45" s="1344">
        <f ca="1">OFFSET(AC45,0,-2)+1</f>
        <v>9</v>
      </c>
      <c r="AD45" s="1344">
        <f ca="1">OFFSET(AD45,0,-1)+1</f>
        <v>10</v>
      </c>
      <c r="AE45" s="1344"/>
      <c r="AF45" s="1344"/>
      <c r="AG45" s="1344"/>
      <c r="AH45" s="1344"/>
      <c r="AI45" s="1344"/>
      <c r="AJ45" s="1344"/>
      <c r="AK45" s="1344"/>
      <c r="AL45" s="1344"/>
      <c r="AM45" s="1344"/>
      <c r="AN45" s="1344"/>
      <c r="AO45" s="1344"/>
      <c r="AP45" s="1344"/>
      <c r="AQ45" s="1344"/>
      <c r="AR45" s="1344"/>
      <c r="AS45" s="1344"/>
      <c r="AT45" s="1344"/>
      <c r="AU45" s="1344"/>
      <c r="AV45" s="1344"/>
      <c r="AW45" s="1344">
        <f ca="1">OFFSET(AW45,0,-1)+1</f>
        <v>1</v>
      </c>
      <c r="AX45" s="1344">
        <f ca="1">OFFSET(AX45,0,-1)+1</f>
        <v>2</v>
      </c>
      <c r="AY45" s="2245">
        <f ca="1">OFFSET(AY45,0,-1)+1</f>
        <v>3</v>
      </c>
      <c r="AZ45" s="2245"/>
      <c r="BA45" s="1344">
        <f ca="1">OFFSET(BA45,0,-2)+1</f>
        <v>4</v>
      </c>
      <c r="BB45" s="1118">
        <f ca="1">OFFSET(BB45,0,-1)</f>
        <v>4</v>
      </c>
      <c r="BC45" s="1344">
        <f ca="1">OFFSET(BC45,0,-1)+1</f>
        <v>5</v>
      </c>
      <c r="BD45" s="439"/>
      <c r="BE45" s="439"/>
      <c r="BF45" s="439"/>
      <c r="BG45" s="439"/>
      <c r="BH45" s="439"/>
    </row>
    <row r="46" spans="1:60" ht="21" customHeight="1">
      <c r="A46" s="1244" t="s">
        <v>268</v>
      </c>
      <c r="B46" s="1244"/>
      <c r="C46" s="1244"/>
      <c r="D46" s="1244"/>
      <c r="E46" s="2235">
        <v>1</v>
      </c>
      <c r="F46" s="1244"/>
      <c r="G46" s="1244"/>
      <c r="H46" s="1244"/>
      <c r="I46" s="1244"/>
      <c r="J46" s="1244"/>
      <c r="K46" s="1244"/>
      <c r="L46" s="1245"/>
      <c r="M46" s="1246"/>
      <c r="N46" s="1246"/>
      <c r="O46" s="1246"/>
      <c r="P46" s="1279"/>
      <c r="Q46" s="771"/>
      <c r="R46" s="279"/>
      <c r="S46" s="1355">
        <f>INDEX(PT_DIFFERENTIATION_NUM_NTAR,MATCH(A46,PT_DIFFERENTIATION_NTAR_ID,0))</f>
        <v>0</v>
      </c>
      <c r="T46" s="216" t="s">
        <v>124</v>
      </c>
      <c r="U46" s="218"/>
      <c r="V46" s="2230"/>
      <c r="W46" s="2230"/>
      <c r="X46" s="2230"/>
      <c r="Y46" s="2230"/>
      <c r="Z46" s="2230"/>
      <c r="AA46" s="2230"/>
      <c r="AB46" s="2230"/>
      <c r="AC46" s="2231"/>
      <c r="AD46" s="2229" t="str">
        <f>INDEX(PT_DIFFERENTIATION_NTAR,MATCH(A46,PT_DIFFERENTIATION_NTAR_ID,0))</f>
        <v/>
      </c>
      <c r="AE46" s="2230"/>
      <c r="AF46" s="2230"/>
      <c r="AG46" s="2230"/>
      <c r="AH46" s="2230"/>
      <c r="AI46" s="2230"/>
      <c r="AJ46" s="2230"/>
      <c r="AK46" s="2230"/>
      <c r="AL46" s="2230"/>
      <c r="AM46" s="2230"/>
      <c r="AN46" s="2230"/>
      <c r="AO46" s="2230"/>
      <c r="AP46" s="2230"/>
      <c r="AQ46" s="2230"/>
      <c r="AR46" s="2230"/>
      <c r="AS46" s="2230"/>
      <c r="AT46" s="2230"/>
      <c r="AU46" s="2230"/>
      <c r="AV46" s="2230"/>
      <c r="AW46" s="2230"/>
      <c r="AX46" s="2230"/>
      <c r="AY46" s="2230"/>
      <c r="AZ46" s="2230"/>
      <c r="BA46" s="2230"/>
      <c r="BB46" s="2231"/>
      <c r="BC46" s="114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28"/>
      <c r="BF46" s="428" t="str">
        <f t="shared" ref="BF46:BF52" si="3">IF(T46="","",T46)</f>
        <v>Наименование тарифа</v>
      </c>
      <c r="BG46" s="428"/>
      <c r="BH46" s="428"/>
    </row>
    <row r="47" spans="1:60" ht="21" customHeight="1">
      <c r="A47" s="1244" t="s">
        <v>268</v>
      </c>
      <c r="B47" s="1244" t="s">
        <v>269</v>
      </c>
      <c r="C47" s="1244"/>
      <c r="D47" s="1244"/>
      <c r="E47" s="2236"/>
      <c r="F47" s="2235">
        <v>1</v>
      </c>
      <c r="G47" s="1244"/>
      <c r="H47" s="1244"/>
      <c r="I47" s="1244"/>
      <c r="J47" s="1244"/>
      <c r="K47" s="1244"/>
      <c r="L47" s="1245"/>
      <c r="M47" s="1246"/>
      <c r="N47" s="1246"/>
      <c r="O47" s="1246"/>
      <c r="P47" s="1280"/>
      <c r="Q47" s="1281"/>
      <c r="R47" s="277"/>
      <c r="S47" s="1355" t="str">
        <f>INDEX(PT_DIFFERENTIATION_NUM_TER,MATCH(B47,PT_DIFFERENTIATION_TER_ID,0))</f>
        <v>.</v>
      </c>
      <c r="T47" s="228" t="s">
        <v>1461</v>
      </c>
      <c r="U47" s="218"/>
      <c r="V47" s="2230"/>
      <c r="W47" s="2230"/>
      <c r="X47" s="2230"/>
      <c r="Y47" s="2230"/>
      <c r="Z47" s="2230"/>
      <c r="AA47" s="2230"/>
      <c r="AB47" s="2230"/>
      <c r="AC47" s="2231"/>
      <c r="AD47" s="2229" t="str">
        <f>INDEX(PT_DIFFERENTIATION_TER,MATCH(B47,PT_DIFFERENTIATION_TER_ID,0))</f>
        <v/>
      </c>
      <c r="AE47" s="2230"/>
      <c r="AF47" s="2230"/>
      <c r="AG47" s="2230"/>
      <c r="AH47" s="2230"/>
      <c r="AI47" s="2230"/>
      <c r="AJ47" s="2230"/>
      <c r="AK47" s="2230"/>
      <c r="AL47" s="2230"/>
      <c r="AM47" s="2230"/>
      <c r="AN47" s="2230"/>
      <c r="AO47" s="2230"/>
      <c r="AP47" s="2230"/>
      <c r="AQ47" s="2230"/>
      <c r="AR47" s="2230"/>
      <c r="AS47" s="2230"/>
      <c r="AT47" s="2230"/>
      <c r="AU47" s="2230"/>
      <c r="AV47" s="2230"/>
      <c r="AW47" s="2230"/>
      <c r="AX47" s="2230"/>
      <c r="AY47" s="2230"/>
      <c r="AZ47" s="2230"/>
      <c r="BA47" s="2230"/>
      <c r="BB47" s="2231"/>
      <c r="BC47" s="1140" t="s">
        <v>1462</v>
      </c>
      <c r="BE47" s="428"/>
      <c r="BF47" s="428" t="str">
        <f t="shared" si="3"/>
        <v>Территория действия тарифа</v>
      </c>
      <c r="BG47" s="428"/>
      <c r="BH47" s="428"/>
    </row>
    <row r="48" spans="1:60" ht="33.75" customHeight="1">
      <c r="A48" s="1244" t="s">
        <v>268</v>
      </c>
      <c r="B48" s="1244" t="s">
        <v>269</v>
      </c>
      <c r="C48" s="1244" t="s">
        <v>270</v>
      </c>
      <c r="D48" s="1244"/>
      <c r="E48" s="2236"/>
      <c r="F48" s="2236"/>
      <c r="G48" s="2235">
        <v>1</v>
      </c>
      <c r="H48" s="1244"/>
      <c r="I48" s="1244"/>
      <c r="J48" s="1244"/>
      <c r="K48" s="1244"/>
      <c r="L48" s="1245"/>
      <c r="M48" s="1246"/>
      <c r="N48" s="1246"/>
      <c r="O48" s="1246"/>
      <c r="P48" s="1282"/>
      <c r="Q48" s="1281"/>
      <c r="R48" s="277"/>
      <c r="S48" s="1355" t="str">
        <f>INDEX(PT_DIFFERENTIATION_NUM_CS,MATCH(C48,PT_DIFFERENTIATION_CS_ID,0))</f>
        <v>..</v>
      </c>
      <c r="T48" s="229" t="s">
        <v>2109</v>
      </c>
      <c r="U48" s="218"/>
      <c r="V48" s="2230"/>
      <c r="W48" s="2230"/>
      <c r="X48" s="2230"/>
      <c r="Y48" s="2230"/>
      <c r="Z48" s="2230"/>
      <c r="AA48" s="2230"/>
      <c r="AB48" s="2230"/>
      <c r="AC48" s="2231"/>
      <c r="AD48" s="2229" t="str">
        <f>INDEX(PT_DIFFERENTIATION_CS,MATCH(C48,PT_DIFFERENTIATION_CS_ID,0))</f>
        <v/>
      </c>
      <c r="AE48" s="2230"/>
      <c r="AF48" s="2230"/>
      <c r="AG48" s="2230"/>
      <c r="AH48" s="2230"/>
      <c r="AI48" s="2230"/>
      <c r="AJ48" s="2230"/>
      <c r="AK48" s="2230"/>
      <c r="AL48" s="2230"/>
      <c r="AM48" s="2230"/>
      <c r="AN48" s="2230"/>
      <c r="AO48" s="2230"/>
      <c r="AP48" s="2230"/>
      <c r="AQ48" s="2230"/>
      <c r="AR48" s="2230"/>
      <c r="AS48" s="2230"/>
      <c r="AT48" s="2230"/>
      <c r="AU48" s="2230"/>
      <c r="AV48" s="2230"/>
      <c r="AW48" s="2230"/>
      <c r="AX48" s="2230"/>
      <c r="AY48" s="2230"/>
      <c r="AZ48" s="2230"/>
      <c r="BA48" s="2230"/>
      <c r="BB48" s="2231"/>
      <c r="BC48" s="1140" t="s">
        <v>2110</v>
      </c>
      <c r="BE48" s="428"/>
      <c r="BF48" s="428" t="str">
        <f t="shared" si="3"/>
        <v>Наименование централизованной системы водоотведения</v>
      </c>
      <c r="BG48" s="428"/>
      <c r="BH48" s="428"/>
    </row>
    <row r="49" spans="1:60" s="1772" customFormat="1" ht="0" hidden="1" customHeight="1">
      <c r="A49" s="1228" t="s">
        <v>268</v>
      </c>
      <c r="B49" s="1228" t="s">
        <v>269</v>
      </c>
      <c r="C49" s="1228" t="s">
        <v>270</v>
      </c>
      <c r="D49" s="1228" t="s">
        <v>2124</v>
      </c>
      <c r="E49" s="2236"/>
      <c r="F49" s="2236"/>
      <c r="G49" s="2236"/>
      <c r="H49" s="2235">
        <v>1</v>
      </c>
      <c r="I49" s="1228"/>
      <c r="J49" s="1228"/>
      <c r="K49" s="1228"/>
      <c r="L49" s="1231"/>
      <c r="M49" s="1201"/>
      <c r="N49" s="1201"/>
      <c r="O49" s="1201"/>
      <c r="P49" s="1358"/>
      <c r="Q49" s="1359"/>
      <c r="R49" s="281"/>
      <c r="S49" s="932"/>
      <c r="T49" s="1360"/>
      <c r="U49" s="1264"/>
      <c r="V49" s="2264"/>
      <c r="W49" s="2264"/>
      <c r="X49" s="2264"/>
      <c r="Y49" s="2264"/>
      <c r="Z49" s="2264"/>
      <c r="AA49" s="2264"/>
      <c r="AB49" s="2264"/>
      <c r="AC49" s="2265"/>
      <c r="AD49" s="2263"/>
      <c r="AE49" s="2264"/>
      <c r="AF49" s="2264"/>
      <c r="AG49" s="2264"/>
      <c r="AH49" s="2264"/>
      <c r="AI49" s="2264"/>
      <c r="AJ49" s="2264"/>
      <c r="AK49" s="2264"/>
      <c r="AL49" s="2264"/>
      <c r="AM49" s="2264"/>
      <c r="AN49" s="2264"/>
      <c r="AO49" s="2264"/>
      <c r="AP49" s="2264"/>
      <c r="AQ49" s="2264"/>
      <c r="AR49" s="2264"/>
      <c r="AS49" s="2264"/>
      <c r="AT49" s="2264"/>
      <c r="AU49" s="2264"/>
      <c r="AV49" s="2264"/>
      <c r="AW49" s="2264"/>
      <c r="AX49" s="2264"/>
      <c r="AY49" s="2264"/>
      <c r="AZ49" s="2264"/>
      <c r="BA49" s="2264"/>
      <c r="BB49" s="2265"/>
      <c r="BC49" s="1265" t="s">
        <v>1466</v>
      </c>
      <c r="BE49" s="428"/>
      <c r="BF49" s="428" t="str">
        <f t="shared" si="3"/>
        <v/>
      </c>
      <c r="BG49" s="428"/>
      <c r="BH49" s="428"/>
    </row>
    <row r="50" spans="1:60" s="1772" customFormat="1" ht="0" hidden="1" customHeight="1">
      <c r="A50" s="1228" t="s">
        <v>268</v>
      </c>
      <c r="B50" s="1228" t="s">
        <v>269</v>
      </c>
      <c r="C50" s="1228" t="s">
        <v>270</v>
      </c>
      <c r="D50" s="1228" t="s">
        <v>2124</v>
      </c>
      <c r="E50" s="2236"/>
      <c r="F50" s="2236"/>
      <c r="G50" s="2236"/>
      <c r="H50" s="2236"/>
      <c r="I50" s="2237" t="str">
        <f>S49&amp;".1"</f>
        <v>.1</v>
      </c>
      <c r="J50" s="1228"/>
      <c r="K50" s="1228"/>
      <c r="L50" s="1231" t="s">
        <v>1467</v>
      </c>
      <c r="M50" s="438"/>
      <c r="N50" s="438"/>
      <c r="O50" s="438"/>
      <c r="P50" s="2157">
        <v>1</v>
      </c>
      <c r="Q50" s="1343"/>
      <c r="R50" s="280"/>
      <c r="S50" s="932"/>
      <c r="T50" s="1263"/>
      <c r="U50" s="1264"/>
      <c r="V50" s="2264"/>
      <c r="W50" s="2264"/>
      <c r="X50" s="2264"/>
      <c r="Y50" s="2264"/>
      <c r="Z50" s="2264"/>
      <c r="AA50" s="2264"/>
      <c r="AB50" s="2264"/>
      <c r="AC50" s="2265"/>
      <c r="AD50" s="2263"/>
      <c r="AE50" s="2264"/>
      <c r="AF50" s="2264"/>
      <c r="AG50" s="2264"/>
      <c r="AH50" s="2264"/>
      <c r="AI50" s="2264"/>
      <c r="AJ50" s="2264"/>
      <c r="AK50" s="2264"/>
      <c r="AL50" s="2264"/>
      <c r="AM50" s="2264"/>
      <c r="AN50" s="2264"/>
      <c r="AO50" s="2264"/>
      <c r="AP50" s="2264"/>
      <c r="AQ50" s="2264"/>
      <c r="AR50" s="2264"/>
      <c r="AS50" s="2264"/>
      <c r="AT50" s="2264"/>
      <c r="AU50" s="2264"/>
      <c r="AV50" s="2264"/>
      <c r="AW50" s="2264"/>
      <c r="AX50" s="2264"/>
      <c r="AY50" s="2264"/>
      <c r="AZ50" s="2264"/>
      <c r="BA50" s="2264"/>
      <c r="BB50" s="2265"/>
      <c r="BC50" s="1265"/>
      <c r="BE50" s="428"/>
      <c r="BF50" s="428" t="str">
        <f t="shared" si="3"/>
        <v/>
      </c>
      <c r="BG50" s="428"/>
      <c r="BH50" s="428"/>
    </row>
    <row r="51" spans="1:60" s="1772" customFormat="1" ht="0" hidden="1" customHeight="1">
      <c r="A51" s="1228" t="s">
        <v>268</v>
      </c>
      <c r="B51" s="1228" t="s">
        <v>269</v>
      </c>
      <c r="C51" s="1228" t="s">
        <v>270</v>
      </c>
      <c r="D51" s="1228" t="s">
        <v>2124</v>
      </c>
      <c r="E51" s="2236"/>
      <c r="F51" s="2236"/>
      <c r="G51" s="2236"/>
      <c r="H51" s="2236"/>
      <c r="I51" s="2238"/>
      <c r="J51" s="2237" t="str">
        <f>S49&amp;".1"</f>
        <v>.1</v>
      </c>
      <c r="K51" s="1228"/>
      <c r="L51" s="1231"/>
      <c r="M51" s="438"/>
      <c r="N51" s="438"/>
      <c r="O51" s="438"/>
      <c r="P51" s="2157"/>
      <c r="Q51" s="2157">
        <v>1</v>
      </c>
      <c r="R51" s="281"/>
      <c r="S51" s="932"/>
      <c r="T51" s="1273"/>
      <c r="U51" s="1264"/>
      <c r="V51" s="2264"/>
      <c r="W51" s="2264"/>
      <c r="X51" s="2264"/>
      <c r="Y51" s="2264"/>
      <c r="Z51" s="2264"/>
      <c r="AA51" s="2264"/>
      <c r="AB51" s="2264"/>
      <c r="AC51" s="2265"/>
      <c r="AD51" s="2263"/>
      <c r="AE51" s="2264"/>
      <c r="AF51" s="2264"/>
      <c r="AG51" s="2264"/>
      <c r="AH51" s="2264"/>
      <c r="AI51" s="2264"/>
      <c r="AJ51" s="2264"/>
      <c r="AK51" s="2264"/>
      <c r="AL51" s="2264"/>
      <c r="AM51" s="2264"/>
      <c r="AN51" s="2342"/>
      <c r="AO51" s="2342"/>
      <c r="AP51" s="2264"/>
      <c r="AQ51" s="2264"/>
      <c r="AR51" s="2264"/>
      <c r="AS51" s="2264"/>
      <c r="AT51" s="2264"/>
      <c r="AU51" s="2264"/>
      <c r="AV51" s="2264"/>
      <c r="AW51" s="2264"/>
      <c r="AX51" s="2264"/>
      <c r="AY51" s="2264"/>
      <c r="AZ51" s="2264"/>
      <c r="BA51" s="2264"/>
      <c r="BB51" s="2265"/>
      <c r="BC51" s="1265"/>
      <c r="BE51" s="428"/>
      <c r="BF51" s="428" t="str">
        <f t="shared" si="3"/>
        <v/>
      </c>
      <c r="BG51" s="428"/>
      <c r="BH51" s="428"/>
    </row>
    <row r="52" spans="1:60" ht="11.25" customHeight="1">
      <c r="A52" s="1244" t="s">
        <v>268</v>
      </c>
      <c r="B52" s="1244" t="s">
        <v>269</v>
      </c>
      <c r="C52" s="1244" t="s">
        <v>270</v>
      </c>
      <c r="D52" s="1244" t="s">
        <v>2124</v>
      </c>
      <c r="E52" s="2236"/>
      <c r="F52" s="2236"/>
      <c r="G52" s="2236"/>
      <c r="H52" s="2236"/>
      <c r="I52" s="2238"/>
      <c r="J52" s="2238"/>
      <c r="K52" s="2237" t="str">
        <f>S48&amp;".1"</f>
        <v>...1</v>
      </c>
      <c r="L52" s="1245"/>
      <c r="P52" s="2157"/>
      <c r="Q52" s="2157"/>
      <c r="R52" s="281">
        <v>1</v>
      </c>
      <c r="S52" s="2286" t="str">
        <f>$K52</f>
        <v>...1</v>
      </c>
      <c r="T52" s="2336"/>
      <c r="U52" s="218"/>
      <c r="V52" s="1667"/>
      <c r="W52" s="1669"/>
      <c r="X52" s="1667"/>
      <c r="Y52" s="1669"/>
      <c r="Z52" s="1593"/>
      <c r="AA52" s="1332" t="s">
        <v>66</v>
      </c>
      <c r="AB52" s="1593"/>
      <c r="AC52" s="1332" t="s">
        <v>66</v>
      </c>
      <c r="AD52" s="2093" t="s">
        <v>66</v>
      </c>
      <c r="AE52" s="2282"/>
      <c r="AF52" s="2281">
        <v>1</v>
      </c>
      <c r="AG52" s="2335"/>
      <c r="AH52" s="2031" t="s">
        <v>66</v>
      </c>
      <c r="AI52" s="2282"/>
      <c r="AJ52" s="2281">
        <v>1</v>
      </c>
      <c r="AK52" s="2334" t="s">
        <v>17</v>
      </c>
      <c r="AL52" s="2031" t="s">
        <v>66</v>
      </c>
      <c r="AM52" s="2081"/>
      <c r="AN52" s="2281">
        <v>1</v>
      </c>
      <c r="AO52" s="2339"/>
      <c r="AP52" s="2340" t="s">
        <v>66</v>
      </c>
      <c r="AQ52" s="231"/>
      <c r="AR52" s="1348">
        <v>1</v>
      </c>
      <c r="AS52" s="1354" t="s">
        <v>17</v>
      </c>
      <c r="AT52" s="1667"/>
      <c r="AU52" s="1669"/>
      <c r="AV52" s="1667"/>
      <c r="AW52" s="1669"/>
      <c r="AX52" s="1593"/>
      <c r="AY52" s="1332" t="s">
        <v>66</v>
      </c>
      <c r="AZ52" s="1593"/>
      <c r="BA52" s="1332" t="s">
        <v>66</v>
      </c>
      <c r="BB52" s="1675"/>
      <c r="BC52" s="2257" t="s">
        <v>1696</v>
      </c>
      <c r="BE52" s="428"/>
      <c r="BF52" s="428" t="str">
        <f t="shared" si="3"/>
        <v/>
      </c>
      <c r="BG52" s="428"/>
      <c r="BH52" s="428"/>
    </row>
    <row r="53" spans="1:60" ht="11.25" customHeight="1">
      <c r="A53" s="1244"/>
      <c r="B53" s="1244"/>
      <c r="C53" s="1244"/>
      <c r="D53" s="1244"/>
      <c r="E53" s="2236"/>
      <c r="F53" s="2236"/>
      <c r="G53" s="2236"/>
      <c r="H53" s="2236"/>
      <c r="I53" s="2238"/>
      <c r="J53" s="2238"/>
      <c r="K53" s="2237"/>
      <c r="L53" s="1245"/>
      <c r="P53" s="2157"/>
      <c r="Q53" s="2157"/>
      <c r="R53" s="281"/>
      <c r="S53" s="2287"/>
      <c r="T53" s="2337"/>
      <c r="U53" s="218"/>
      <c r="V53" s="1683"/>
      <c r="W53" s="1689"/>
      <c r="X53" s="1683"/>
      <c r="Y53" s="1689"/>
      <c r="Z53" s="1683"/>
      <c r="AA53" s="1683"/>
      <c r="AB53" s="1683"/>
      <c r="AC53" s="1683"/>
      <c r="AD53" s="2094"/>
      <c r="AE53" s="2282"/>
      <c r="AF53" s="2281"/>
      <c r="AG53" s="2335"/>
      <c r="AH53" s="2031"/>
      <c r="AI53" s="2282"/>
      <c r="AJ53" s="2281"/>
      <c r="AK53" s="2334"/>
      <c r="AL53" s="2031"/>
      <c r="AM53" s="2086"/>
      <c r="AN53" s="2281"/>
      <c r="AO53" s="2339"/>
      <c r="AP53" s="2341"/>
      <c r="AQ53" s="238"/>
      <c r="AR53" s="351"/>
      <c r="AS53" s="351" t="s">
        <v>1697</v>
      </c>
      <c r="AT53" s="1683"/>
      <c r="AU53" s="1689"/>
      <c r="AV53" s="1683"/>
      <c r="AW53" s="1689"/>
      <c r="AX53" s="1683"/>
      <c r="AY53" s="1683"/>
      <c r="AZ53" s="1683"/>
      <c r="BA53" s="1683"/>
      <c r="BB53" s="1688"/>
      <c r="BC53" s="2258"/>
      <c r="BE53" s="428"/>
      <c r="BF53" s="428"/>
      <c r="BG53" s="428"/>
      <c r="BH53" s="428"/>
    </row>
    <row r="54" spans="1:60" ht="11.25" customHeight="1">
      <c r="A54" s="1244" t="s">
        <v>268</v>
      </c>
      <c r="B54" s="1244"/>
      <c r="C54" s="1244"/>
      <c r="D54" s="1244"/>
      <c r="E54" s="2236"/>
      <c r="F54" s="2236"/>
      <c r="G54" s="2236"/>
      <c r="H54" s="2236"/>
      <c r="I54" s="2238"/>
      <c r="J54" s="2238"/>
      <c r="K54" s="2237"/>
      <c r="L54" s="1245"/>
      <c r="P54" s="2157"/>
      <c r="Q54" s="2157"/>
      <c r="R54" s="281"/>
      <c r="S54" s="2287"/>
      <c r="T54" s="2337"/>
      <c r="U54" s="218"/>
      <c r="V54" s="1683"/>
      <c r="W54" s="1689"/>
      <c r="X54" s="1683"/>
      <c r="Y54" s="1689"/>
      <c r="Z54" s="1683"/>
      <c r="AA54" s="1683"/>
      <c r="AB54" s="1683"/>
      <c r="AC54" s="1683"/>
      <c r="AD54" s="2094"/>
      <c r="AE54" s="2282"/>
      <c r="AF54" s="2281"/>
      <c r="AG54" s="2335"/>
      <c r="AH54" s="2031"/>
      <c r="AI54" s="2282"/>
      <c r="AJ54" s="2281"/>
      <c r="AK54" s="2334"/>
      <c r="AL54" s="2031"/>
      <c r="AM54" s="238"/>
      <c r="AN54" s="1361"/>
      <c r="AO54" s="1361" t="s">
        <v>2117</v>
      </c>
      <c r="AP54" s="351"/>
      <c r="AQ54" s="351"/>
      <c r="AR54" s="351"/>
      <c r="AS54" s="1683"/>
      <c r="AT54" s="1683"/>
      <c r="AU54" s="1689"/>
      <c r="AV54" s="1683"/>
      <c r="AW54" s="1689"/>
      <c r="AX54" s="1683"/>
      <c r="AY54" s="1683"/>
      <c r="AZ54" s="1683"/>
      <c r="BA54" s="1683"/>
      <c r="BB54" s="1688"/>
      <c r="BC54" s="2258"/>
      <c r="BE54" s="428"/>
      <c r="BF54" s="428"/>
      <c r="BG54" s="428"/>
      <c r="BH54" s="428"/>
    </row>
    <row r="55" spans="1:60" ht="11.25" customHeight="1">
      <c r="A55" s="1244" t="s">
        <v>268</v>
      </c>
      <c r="B55" s="1244"/>
      <c r="C55" s="1244"/>
      <c r="D55" s="1244"/>
      <c r="E55" s="2236"/>
      <c r="F55" s="2236"/>
      <c r="G55" s="2236"/>
      <c r="H55" s="2236"/>
      <c r="I55" s="2238"/>
      <c r="J55" s="2238"/>
      <c r="K55" s="2237"/>
      <c r="L55" s="1245"/>
      <c r="P55" s="2157"/>
      <c r="Q55" s="2157"/>
      <c r="R55" s="281"/>
      <c r="S55" s="2287"/>
      <c r="T55" s="2337"/>
      <c r="U55" s="218"/>
      <c r="V55" s="1683"/>
      <c r="W55" s="1689"/>
      <c r="X55" s="1683"/>
      <c r="Y55" s="1689"/>
      <c r="Z55" s="1683"/>
      <c r="AA55" s="1683"/>
      <c r="AB55" s="1683"/>
      <c r="AC55" s="1683"/>
      <c r="AD55" s="2094"/>
      <c r="AE55" s="2282"/>
      <c r="AF55" s="2281"/>
      <c r="AG55" s="2335"/>
      <c r="AH55" s="2031"/>
      <c r="AI55" s="212"/>
      <c r="AJ55" s="350"/>
      <c r="AK55" s="233" t="s">
        <v>2118</v>
      </c>
      <c r="AL55" s="1683"/>
      <c r="AM55" s="1683"/>
      <c r="AN55" s="1683"/>
      <c r="AO55" s="1683"/>
      <c r="AP55" s="1683"/>
      <c r="AQ55" s="1683"/>
      <c r="AR55" s="1683"/>
      <c r="AS55" s="1683"/>
      <c r="AT55" s="1683"/>
      <c r="AU55" s="1689"/>
      <c r="AV55" s="1683"/>
      <c r="AW55" s="1689"/>
      <c r="AX55" s="1683"/>
      <c r="AY55" s="1683"/>
      <c r="AZ55" s="1683"/>
      <c r="BA55" s="1683"/>
      <c r="BB55" s="1688"/>
      <c r="BC55" s="2258"/>
      <c r="BE55" s="428"/>
      <c r="BF55" s="428"/>
      <c r="BG55" s="428"/>
      <c r="BH55" s="428"/>
    </row>
    <row r="56" spans="1:60" ht="11.25" customHeight="1">
      <c r="A56" s="1244" t="s">
        <v>268</v>
      </c>
      <c r="B56" s="1244" t="s">
        <v>269</v>
      </c>
      <c r="C56" s="1244" t="s">
        <v>270</v>
      </c>
      <c r="D56" s="1244" t="s">
        <v>2124</v>
      </c>
      <c r="E56" s="2236"/>
      <c r="F56" s="2236"/>
      <c r="G56" s="2236"/>
      <c r="H56" s="2236"/>
      <c r="I56" s="2238"/>
      <c r="J56" s="2238"/>
      <c r="K56" s="2237"/>
      <c r="L56" s="1245"/>
      <c r="P56" s="2157"/>
      <c r="Q56" s="2157"/>
      <c r="R56" s="281"/>
      <c r="S56" s="2288"/>
      <c r="T56" s="2338"/>
      <c r="U56" s="218"/>
      <c r="V56" s="1683"/>
      <c r="W56" s="1684" t="str">
        <f>Z52&amp;"-"&amp;AB52</f>
        <v>-</v>
      </c>
      <c r="X56" s="1683"/>
      <c r="Y56" s="1684" t="str">
        <f>AB52&amp;"-"&amp;AD52</f>
        <v>-да</v>
      </c>
      <c r="Z56" s="1683"/>
      <c r="AA56" s="1683"/>
      <c r="AB56" s="1683"/>
      <c r="AC56" s="1683"/>
      <c r="AD56" s="2036"/>
      <c r="AE56" s="232"/>
      <c r="AF56" s="234"/>
      <c r="AG56" s="351" t="s">
        <v>1700</v>
      </c>
      <c r="AH56" s="1683"/>
      <c r="AI56" s="1683"/>
      <c r="AJ56" s="1683"/>
      <c r="AK56" s="1683"/>
      <c r="AL56" s="1683"/>
      <c r="AM56" s="1683"/>
      <c r="AN56" s="1683"/>
      <c r="AO56" s="1683"/>
      <c r="AP56" s="1683"/>
      <c r="AQ56" s="1683"/>
      <c r="AR56" s="1683"/>
      <c r="AS56" s="1683"/>
      <c r="AT56" s="1683"/>
      <c r="AU56" s="1684" t="str">
        <f>AX52&amp;"-"&amp;AZ52</f>
        <v>-</v>
      </c>
      <c r="AV56" s="1683"/>
      <c r="AW56" s="1684" t="str">
        <f>AZ52&amp;"-"&amp;BB52</f>
        <v>-</v>
      </c>
      <c r="AX56" s="1683"/>
      <c r="AY56" s="1683"/>
      <c r="AZ56" s="1683"/>
      <c r="BA56" s="1683"/>
      <c r="BB56" s="1691" t="str">
        <f>BE52&amp;"-"&amp;BG52</f>
        <v>-</v>
      </c>
      <c r="BC56" s="2258"/>
      <c r="BE56" s="428"/>
      <c r="BF56" s="428" t="str">
        <f t="shared" ref="BF56:BF63" si="4">IF(T56="","",T56)</f>
        <v/>
      </c>
      <c r="BG56" s="428"/>
      <c r="BH56" s="428"/>
    </row>
    <row r="57" spans="1:60" ht="11.25" customHeight="1">
      <c r="A57" s="1244" t="s">
        <v>268</v>
      </c>
      <c r="B57" s="1244" t="s">
        <v>269</v>
      </c>
      <c r="C57" s="1244" t="s">
        <v>270</v>
      </c>
      <c r="D57" s="1244" t="s">
        <v>2124</v>
      </c>
      <c r="E57" s="2236"/>
      <c r="F57" s="2236"/>
      <c r="G57" s="2236"/>
      <c r="H57" s="2236"/>
      <c r="I57" s="2238"/>
      <c r="J57" s="2237"/>
      <c r="K57" s="1244"/>
      <c r="L57" s="1245"/>
      <c r="P57" s="2157"/>
      <c r="Q57" s="2157"/>
      <c r="R57" s="280"/>
      <c r="S57" s="1161"/>
      <c r="T57" s="205" t="s">
        <v>1541</v>
      </c>
      <c r="U57" s="294"/>
      <c r="V57" s="294"/>
      <c r="W57" s="294"/>
      <c r="X57" s="294"/>
      <c r="Y57" s="294"/>
      <c r="Z57" s="294"/>
      <c r="AA57" s="294"/>
      <c r="AB57" s="294"/>
      <c r="AC57" s="251"/>
      <c r="AD57" s="1366"/>
      <c r="AE57" s="294"/>
      <c r="AF57" s="294"/>
      <c r="AG57" s="294"/>
      <c r="AH57" s="294"/>
      <c r="AI57" s="294"/>
      <c r="AJ57" s="294"/>
      <c r="AK57" s="294"/>
      <c r="AL57" s="294"/>
      <c r="AM57" s="294"/>
      <c r="AN57" s="294"/>
      <c r="AO57" s="294"/>
      <c r="AP57" s="294"/>
      <c r="AQ57" s="294"/>
      <c r="AR57" s="294"/>
      <c r="AS57" s="294"/>
      <c r="AT57" s="294"/>
      <c r="AU57" s="294"/>
      <c r="AV57" s="294"/>
      <c r="AW57" s="294"/>
      <c r="AX57" s="294"/>
      <c r="AY57" s="294"/>
      <c r="AZ57" s="294"/>
      <c r="BA57" s="294"/>
      <c r="BB57" s="251"/>
      <c r="BC57" s="2259"/>
      <c r="BE57" s="428"/>
      <c r="BF57" s="428" t="str">
        <f t="shared" si="4"/>
        <v>Добавить строку</v>
      </c>
      <c r="BG57" s="428"/>
      <c r="BH57" s="428"/>
    </row>
    <row r="58" spans="1:60" s="1772" customFormat="1" ht="0" hidden="1" customHeight="1">
      <c r="A58" s="1228" t="s">
        <v>268</v>
      </c>
      <c r="B58" s="1228" t="s">
        <v>269</v>
      </c>
      <c r="C58" s="1228" t="s">
        <v>270</v>
      </c>
      <c r="D58" s="1228" t="s">
        <v>2124</v>
      </c>
      <c r="E58" s="2236"/>
      <c r="F58" s="2236"/>
      <c r="G58" s="2236"/>
      <c r="H58" s="2236"/>
      <c r="I58" s="2237"/>
      <c r="J58" s="1228"/>
      <c r="K58" s="1228"/>
      <c r="L58" s="1231"/>
      <c r="M58" s="438"/>
      <c r="N58" s="438"/>
      <c r="O58" s="438"/>
      <c r="P58" s="2157"/>
      <c r="Q58" s="1343"/>
      <c r="R58" s="280"/>
      <c r="S58" s="1266"/>
      <c r="T58" s="1267"/>
      <c r="U58" s="1268"/>
      <c r="V58" s="1268"/>
      <c r="W58" s="1268"/>
      <c r="X58" s="1268"/>
      <c r="Y58" s="1268"/>
      <c r="Z58" s="1268"/>
      <c r="AA58" s="1268"/>
      <c r="AB58" s="1268"/>
      <c r="AC58" s="1268"/>
      <c r="AD58" s="1268"/>
      <c r="AE58" s="1268"/>
      <c r="AF58" s="1268"/>
      <c r="AG58" s="1268"/>
      <c r="AH58" s="1268"/>
      <c r="AI58" s="1268"/>
      <c r="AJ58" s="1268"/>
      <c r="AK58" s="1268"/>
      <c r="AL58" s="1268"/>
      <c r="AM58" s="1268"/>
      <c r="AN58" s="1268"/>
      <c r="AO58" s="1268"/>
      <c r="AP58" s="1268"/>
      <c r="AQ58" s="1268"/>
      <c r="AR58" s="1268"/>
      <c r="AS58" s="1268"/>
      <c r="AT58" s="1268"/>
      <c r="AU58" s="1268"/>
      <c r="AV58" s="1268"/>
      <c r="AW58" s="1268"/>
      <c r="AX58" s="1268"/>
      <c r="AY58" s="1268"/>
      <c r="AZ58" s="1268"/>
      <c r="BA58" s="1268"/>
      <c r="BB58" s="1268"/>
      <c r="BC58" s="1269"/>
      <c r="BE58" s="428"/>
      <c r="BF58" s="428" t="str">
        <f t="shared" si="4"/>
        <v/>
      </c>
      <c r="BG58" s="428"/>
      <c r="BH58" s="428"/>
    </row>
    <row r="59" spans="1:60" s="1772" customFormat="1" ht="0" hidden="1" customHeight="1">
      <c r="A59" s="1228" t="s">
        <v>268</v>
      </c>
      <c r="B59" s="1228" t="s">
        <v>269</v>
      </c>
      <c r="C59" s="1228" t="s">
        <v>270</v>
      </c>
      <c r="D59" s="1228" t="s">
        <v>2124</v>
      </c>
      <c r="E59" s="2236"/>
      <c r="F59" s="2236"/>
      <c r="G59" s="2236"/>
      <c r="H59" s="2235"/>
      <c r="I59" s="1228"/>
      <c r="J59" s="1228"/>
      <c r="K59" s="1228"/>
      <c r="L59" s="1231"/>
      <c r="M59" s="1201"/>
      <c r="N59" s="1201"/>
      <c r="O59" s="446"/>
      <c r="P59" s="311"/>
      <c r="Q59" s="1229"/>
      <c r="R59" s="1275"/>
      <c r="S59" s="1266"/>
      <c r="T59" s="1267"/>
      <c r="U59" s="1268"/>
      <c r="V59" s="1268"/>
      <c r="W59" s="1268"/>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268"/>
      <c r="AS59" s="1268"/>
      <c r="AT59" s="1268"/>
      <c r="AU59" s="1268"/>
      <c r="AV59" s="1268"/>
      <c r="AW59" s="1268"/>
      <c r="AX59" s="1268"/>
      <c r="AY59" s="1268"/>
      <c r="AZ59" s="1268"/>
      <c r="BA59" s="1268"/>
      <c r="BB59" s="1268"/>
      <c r="BC59" s="1269"/>
      <c r="BE59" s="428"/>
      <c r="BF59" s="428" t="str">
        <f t="shared" si="4"/>
        <v/>
      </c>
      <c r="BG59" s="428"/>
      <c r="BH59" s="428"/>
    </row>
    <row r="60" spans="1:60" s="1772" customFormat="1" ht="0" hidden="1" customHeight="1">
      <c r="A60" s="1228" t="s">
        <v>268</v>
      </c>
      <c r="B60" s="1228" t="s">
        <v>269</v>
      </c>
      <c r="C60" s="1228" t="s">
        <v>270</v>
      </c>
      <c r="D60" s="1200"/>
      <c r="E60" s="2236"/>
      <c r="F60" s="2236"/>
      <c r="G60" s="2235"/>
      <c r="H60" s="1200"/>
      <c r="I60" s="1200"/>
      <c r="J60" s="1200"/>
      <c r="K60" s="1200"/>
      <c r="L60" s="1356"/>
      <c r="M60" s="1201"/>
      <c r="N60" s="1201"/>
      <c r="P60" s="1202"/>
      <c r="Q60" s="1203"/>
      <c r="R60" s="1202"/>
      <c r="S60" s="1208"/>
      <c r="T60" s="1211"/>
      <c r="U60" s="1210"/>
      <c r="V60" s="1210"/>
      <c r="W60" s="1210"/>
      <c r="X60" s="1210"/>
      <c r="Y60" s="1210"/>
      <c r="Z60" s="1210"/>
      <c r="AA60" s="1210"/>
      <c r="AB60" s="1210"/>
      <c r="AC60" s="1210"/>
      <c r="AD60" s="1210"/>
      <c r="AE60" s="1210"/>
      <c r="AF60" s="1210"/>
      <c r="AG60" s="1210"/>
      <c r="AH60" s="1210"/>
      <c r="AI60" s="1210"/>
      <c r="AJ60" s="1210"/>
      <c r="AK60" s="1210"/>
      <c r="AL60" s="1210"/>
      <c r="AM60" s="1210"/>
      <c r="AN60" s="1210"/>
      <c r="AO60" s="1210"/>
      <c r="AP60" s="1210"/>
      <c r="AQ60" s="1210"/>
      <c r="AR60" s="1210"/>
      <c r="AS60" s="1210"/>
      <c r="AT60" s="1210"/>
      <c r="AU60" s="1210"/>
      <c r="AV60" s="1210"/>
      <c r="AW60" s="1210"/>
      <c r="AX60" s="1210"/>
      <c r="AY60" s="1210"/>
      <c r="AZ60" s="1210"/>
      <c r="BA60" s="1210"/>
      <c r="BB60" s="1210"/>
      <c r="BC60" s="1210"/>
      <c r="BE60" s="696"/>
      <c r="BF60" s="696" t="str">
        <f t="shared" si="4"/>
        <v/>
      </c>
      <c r="BG60" s="696"/>
      <c r="BH60" s="696"/>
    </row>
    <row r="61" spans="1:60" s="1772" customFormat="1" ht="0" hidden="1" customHeight="1">
      <c r="A61" s="1228" t="s">
        <v>268</v>
      </c>
      <c r="B61" s="1228" t="s">
        <v>269</v>
      </c>
      <c r="C61" s="1200"/>
      <c r="D61" s="1200"/>
      <c r="E61" s="2236"/>
      <c r="F61" s="2235"/>
      <c r="G61" s="1200"/>
      <c r="H61" s="1200"/>
      <c r="I61" s="1200"/>
      <c r="J61" s="1200"/>
      <c r="K61" s="1200"/>
      <c r="L61" s="1356"/>
      <c r="M61" s="1207"/>
      <c r="N61" s="1207"/>
      <c r="P61" s="1202"/>
      <c r="Q61" s="1203"/>
      <c r="R61" s="1202"/>
      <c r="S61" s="1208"/>
      <c r="T61" s="1211" t="s">
        <v>1437</v>
      </c>
      <c r="U61" s="1210"/>
      <c r="V61" s="1210"/>
      <c r="W61" s="1210"/>
      <c r="X61" s="1210"/>
      <c r="Y61" s="1210"/>
      <c r="Z61" s="1210"/>
      <c r="AA61" s="1210"/>
      <c r="AB61" s="1210"/>
      <c r="AC61" s="1210"/>
      <c r="AD61" s="1210"/>
      <c r="AE61" s="1210"/>
      <c r="AF61" s="1210"/>
      <c r="AG61" s="1210"/>
      <c r="AH61" s="1210"/>
      <c r="AI61" s="1210"/>
      <c r="AJ61" s="1210"/>
      <c r="AK61" s="1210"/>
      <c r="AL61" s="1210"/>
      <c r="AM61" s="1210"/>
      <c r="AN61" s="1210"/>
      <c r="AO61" s="1210"/>
      <c r="AP61" s="1210"/>
      <c r="AQ61" s="1210"/>
      <c r="AR61" s="1210"/>
      <c r="AS61" s="1210"/>
      <c r="AT61" s="1210"/>
      <c r="AU61" s="1210"/>
      <c r="AV61" s="1210"/>
      <c r="AW61" s="1210"/>
      <c r="AX61" s="1210"/>
      <c r="AY61" s="1210"/>
      <c r="AZ61" s="1210"/>
      <c r="BA61" s="1210"/>
      <c r="BB61" s="1210"/>
      <c r="BC61" s="1210"/>
      <c r="BE61" s="696"/>
      <c r="BF61" s="696" t="str">
        <f t="shared" si="4"/>
        <v>Добавить централизованную систему для дифференциации</v>
      </c>
      <c r="BG61" s="696"/>
      <c r="BH61" s="696"/>
    </row>
    <row r="62" spans="1:60" s="1772" customFormat="1" ht="0" hidden="1" customHeight="1">
      <c r="A62" s="1228" t="s">
        <v>268</v>
      </c>
      <c r="B62" s="1228"/>
      <c r="C62" s="1228"/>
      <c r="D62" s="1228"/>
      <c r="E62" s="2235"/>
      <c r="F62" s="1228"/>
      <c r="G62" s="1228"/>
      <c r="H62" s="1228"/>
      <c r="I62" s="1228"/>
      <c r="J62" s="1228"/>
      <c r="K62" s="1228"/>
      <c r="L62" s="1231"/>
      <c r="M62" s="1207"/>
      <c r="N62" s="1207"/>
      <c r="O62" s="446"/>
      <c r="P62" s="311"/>
      <c r="Q62" s="1229"/>
      <c r="R62" s="311"/>
      <c r="S62" s="1208"/>
      <c r="T62" s="1211" t="s">
        <v>1438</v>
      </c>
      <c r="U62" s="1210"/>
      <c r="V62" s="1210"/>
      <c r="W62" s="1210"/>
      <c r="X62" s="1210"/>
      <c r="Y62" s="1210"/>
      <c r="Z62" s="1210"/>
      <c r="AA62" s="1210"/>
      <c r="AB62" s="1210"/>
      <c r="AC62" s="1210"/>
      <c r="AD62" s="1210"/>
      <c r="AE62" s="1210"/>
      <c r="AF62" s="1210"/>
      <c r="AG62" s="1210"/>
      <c r="AH62" s="1210"/>
      <c r="AI62" s="1210"/>
      <c r="AJ62" s="1210"/>
      <c r="AK62" s="1210"/>
      <c r="AL62" s="1210"/>
      <c r="AM62" s="1210"/>
      <c r="AN62" s="1210"/>
      <c r="AO62" s="1210"/>
      <c r="AP62" s="1210"/>
      <c r="AQ62" s="1210"/>
      <c r="AR62" s="1210"/>
      <c r="AS62" s="1210"/>
      <c r="AT62" s="1210"/>
      <c r="AU62" s="1210"/>
      <c r="AV62" s="1210"/>
      <c r="AW62" s="1210"/>
      <c r="AX62" s="1210"/>
      <c r="AY62" s="1210"/>
      <c r="AZ62" s="1210"/>
      <c r="BA62" s="1210"/>
      <c r="BB62" s="1210"/>
      <c r="BC62" s="1210"/>
      <c r="BE62" s="428"/>
      <c r="BF62" s="428" t="str">
        <f t="shared" si="4"/>
        <v>Добавить территорию для дифференциации</v>
      </c>
      <c r="BG62" s="428"/>
      <c r="BH62" s="428"/>
    </row>
    <row r="63" spans="1:60" s="1772" customFormat="1" ht="0" hidden="1" customHeight="1">
      <c r="A63" s="1200"/>
      <c r="B63" s="1200"/>
      <c r="C63" s="1200"/>
      <c r="D63" s="1200"/>
      <c r="E63" s="1228"/>
      <c r="F63" s="1200"/>
      <c r="G63" s="1200"/>
      <c r="H63" s="1200"/>
      <c r="I63" s="1200"/>
      <c r="J63" s="1200"/>
      <c r="K63" s="1200"/>
      <c r="L63" s="1356"/>
      <c r="M63" s="1207"/>
      <c r="N63" s="1207"/>
      <c r="P63" s="1202"/>
      <c r="Q63" s="1203"/>
      <c r="R63" s="1202"/>
      <c r="S63" s="1208"/>
      <c r="T63" s="1211" t="s">
        <v>1439</v>
      </c>
      <c r="U63" s="1210"/>
      <c r="V63" s="1210"/>
      <c r="W63" s="1210"/>
      <c r="X63" s="1210"/>
      <c r="Y63" s="1210"/>
      <c r="Z63" s="1210"/>
      <c r="AA63" s="1210"/>
      <c r="AB63" s="1210"/>
      <c r="AC63" s="1210"/>
      <c r="AD63" s="1210"/>
      <c r="AE63" s="1210"/>
      <c r="AF63" s="1210"/>
      <c r="AG63" s="1210"/>
      <c r="AH63" s="1210"/>
      <c r="AI63" s="1210"/>
      <c r="AJ63" s="1210"/>
      <c r="AK63" s="1210"/>
      <c r="AL63" s="1210"/>
      <c r="AM63" s="1210"/>
      <c r="AN63" s="1210"/>
      <c r="AO63" s="1210"/>
      <c r="AP63" s="1210"/>
      <c r="AQ63" s="1210"/>
      <c r="AR63" s="1210"/>
      <c r="AS63" s="1210"/>
      <c r="AT63" s="1210"/>
      <c r="AU63" s="1210"/>
      <c r="AV63" s="1210"/>
      <c r="AW63" s="1210"/>
      <c r="AX63" s="1210"/>
      <c r="AY63" s="1210"/>
      <c r="AZ63" s="1210"/>
      <c r="BA63" s="1210"/>
      <c r="BB63" s="1210"/>
      <c r="BC63" s="1210"/>
      <c r="BE63" s="696"/>
      <c r="BF63" s="696" t="str">
        <f t="shared" si="4"/>
        <v>Добавить наименование тарифа</v>
      </c>
      <c r="BG63" s="696"/>
      <c r="BH63" s="696"/>
    </row>
    <row r="64" spans="1:60" ht="11.25" hidden="1" customHeight="1">
      <c r="M64" s="1036"/>
      <c r="N64" s="1036"/>
      <c r="O64" s="464"/>
      <c r="P64" s="1036"/>
      <c r="Q64" s="1036"/>
      <c r="R64" s="1031"/>
      <c r="S64" s="1031"/>
      <c r="BD64" s="1031"/>
      <c r="BE64" s="1031"/>
      <c r="BF64" s="1031"/>
      <c r="BG64" s="1031"/>
      <c r="BH64" s="1031"/>
    </row>
    <row r="65" spans="15:55" ht="18.75" hidden="1" customHeight="1">
      <c r="O65" s="464"/>
      <c r="S65" s="1128" t="s">
        <v>1509</v>
      </c>
      <c r="T65" s="2234" t="s">
        <v>1711</v>
      </c>
      <c r="U65" s="2234"/>
      <c r="V65" s="2234"/>
      <c r="W65" s="2234"/>
      <c r="X65" s="2234"/>
      <c r="Y65" s="2234"/>
      <c r="Z65" s="2234"/>
      <c r="AA65" s="2234"/>
      <c r="AB65" s="2234"/>
      <c r="AC65" s="2234"/>
      <c r="AD65" s="2234"/>
      <c r="AE65" s="2234"/>
      <c r="AF65" s="2234"/>
      <c r="AG65" s="2234"/>
      <c r="AH65" s="2234"/>
      <c r="AI65" s="2234"/>
      <c r="AJ65" s="2234"/>
      <c r="AK65" s="2234"/>
      <c r="AL65" s="2234"/>
      <c r="AM65" s="2234"/>
      <c r="AN65" s="2234"/>
      <c r="AO65" s="2234"/>
      <c r="AP65" s="2234"/>
      <c r="AQ65" s="2234"/>
      <c r="AR65" s="2234"/>
      <c r="AS65" s="2234"/>
      <c r="AT65" s="2234"/>
      <c r="AU65" s="2234"/>
      <c r="AV65" s="2234"/>
      <c r="AW65" s="2234"/>
      <c r="AX65" s="2234"/>
      <c r="AY65" s="2234"/>
      <c r="AZ65" s="2234"/>
      <c r="BA65" s="2234"/>
      <c r="BB65" s="2234"/>
      <c r="BC65" s="2234"/>
    </row>
    <row r="66" spans="15:55" ht="14.25" hidden="1" customHeight="1">
      <c r="O66" s="464"/>
      <c r="T66" s="1342"/>
      <c r="U66" s="1342"/>
      <c r="V66" s="1342"/>
      <c r="W66" s="1342"/>
      <c r="X66" s="1342"/>
      <c r="Y66" s="1342"/>
      <c r="Z66" s="1342"/>
      <c r="AA66" s="1342"/>
      <c r="AB66" s="1342"/>
      <c r="AC66" s="1342"/>
      <c r="AD66" s="1342"/>
      <c r="AE66" s="1342"/>
      <c r="AF66" s="1342"/>
      <c r="AG66" s="1342"/>
      <c r="AH66" s="1342"/>
      <c r="AI66" s="1342"/>
      <c r="AJ66" s="1342"/>
      <c r="AK66" s="1342"/>
      <c r="AL66" s="1342"/>
      <c r="AM66" s="1342"/>
      <c r="AN66" s="1342"/>
      <c r="AO66" s="1342"/>
      <c r="AP66" s="1342"/>
      <c r="AQ66" s="1342"/>
      <c r="AR66" s="1342"/>
      <c r="AS66" s="1342"/>
      <c r="AT66" s="1342"/>
      <c r="AU66" s="1342"/>
      <c r="AV66" s="1342"/>
      <c r="AW66" s="1342"/>
      <c r="AX66" s="1342"/>
      <c r="AY66" s="1342"/>
      <c r="AZ66" s="1342"/>
      <c r="BA66" s="1342"/>
      <c r="BB66" s="1342"/>
      <c r="BC66" s="1342"/>
    </row>
    <row r="67" spans="15:55" ht="18.75" hidden="1" customHeight="1">
      <c r="O67" s="464"/>
      <c r="S67" s="1128" t="s">
        <v>1509</v>
      </c>
      <c r="T67" s="2234" t="s">
        <v>1675</v>
      </c>
      <c r="U67" s="2234"/>
      <c r="V67" s="2234"/>
      <c r="W67" s="2234"/>
      <c r="X67" s="2234"/>
      <c r="Y67" s="2234"/>
      <c r="Z67" s="2234"/>
      <c r="AA67" s="2234"/>
      <c r="AB67" s="2234"/>
      <c r="AC67" s="2234"/>
      <c r="AD67" s="2234"/>
      <c r="AE67" s="2234"/>
      <c r="AF67" s="2234"/>
      <c r="AG67" s="2234"/>
      <c r="AH67" s="2234"/>
      <c r="AI67" s="2234"/>
      <c r="AJ67" s="2234"/>
      <c r="AK67" s="2234"/>
      <c r="AL67" s="2234"/>
      <c r="AM67" s="2234"/>
      <c r="AN67" s="2234"/>
      <c r="AO67" s="2234"/>
      <c r="AP67" s="2234"/>
      <c r="AQ67" s="2234"/>
      <c r="AR67" s="2234"/>
      <c r="AS67" s="2234"/>
      <c r="AT67" s="2234"/>
      <c r="AU67" s="2234"/>
      <c r="AV67" s="2234"/>
      <c r="AW67" s="2234"/>
      <c r="AX67" s="2234"/>
      <c r="AY67" s="2234"/>
      <c r="AZ67" s="2234"/>
      <c r="BA67" s="2234"/>
      <c r="BB67" s="2234"/>
      <c r="BC67" s="2234"/>
    </row>
    <row r="68" spans="15:55" ht="14.25" customHeight="1">
      <c r="O68" s="464"/>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L49"/>
  <sheetViews>
    <sheetView showGridLines="0" topLeftCell="C3" zoomScale="90" workbookViewId="0"/>
  </sheetViews>
  <sheetFormatPr defaultColWidth="9.140625" defaultRowHeight="11.25" customHeight="1"/>
  <cols>
    <col min="1" max="2" width="9.140625" style="1753" hidden="1"/>
    <col min="3" max="4" width="3.7109375" style="1753" customWidth="1"/>
    <col min="5" max="6" width="16" style="1753" customWidth="1"/>
    <col min="7" max="7" width="11.5703125" style="1753" customWidth="1"/>
    <col min="8" max="9" width="3.7109375" style="1753" customWidth="1"/>
    <col min="10" max="10" width="13.140625" style="1753" customWidth="1"/>
    <col min="11" max="11" width="0.28515625" style="1753" customWidth="1"/>
    <col min="12" max="13" width="10.7109375" style="1753" customWidth="1"/>
    <col min="14" max="15" width="3.7109375" style="1753" customWidth="1"/>
    <col min="16" max="16" width="19.7109375" style="1753" customWidth="1"/>
    <col min="17" max="17" width="0.28515625" style="1753" customWidth="1"/>
    <col min="18" max="19" width="10.7109375" style="1753" customWidth="1"/>
    <col min="20" max="21" width="3.7109375" style="1753" customWidth="1"/>
    <col min="22" max="22" width="25.7109375" style="1753" customWidth="1"/>
    <col min="23" max="23" width="0.28515625" style="1753" customWidth="1"/>
    <col min="24" max="25" width="10.7109375" style="1753" customWidth="1"/>
    <col min="26" max="27" width="3.7109375" style="1753" customWidth="1"/>
    <col min="28" max="28" width="16.42578125" style="1753" customWidth="1"/>
    <col min="29" max="29" width="0.28515625" style="1753" customWidth="1"/>
    <col min="30" max="31" width="10.7109375" style="1753" customWidth="1"/>
    <col min="32" max="33" width="3.7109375" style="1753" customWidth="1"/>
    <col min="34" max="34" width="8.7109375" style="1753" customWidth="1"/>
    <col min="35" max="35" width="21.7109375" style="1753" customWidth="1"/>
    <col min="36" max="36" width="9.140625" style="1753"/>
    <col min="37" max="37" width="9.140625" style="1742"/>
    <col min="38" max="64" width="9.140625" style="1753"/>
  </cols>
  <sheetData>
    <row r="1" spans="1:64" s="1775" customFormat="1" ht="11.25" hidden="1" customHeight="1">
      <c r="AJ1" s="356"/>
      <c r="AK1" s="356"/>
      <c r="AL1" s="356"/>
      <c r="AM1" s="356"/>
      <c r="AN1" s="356"/>
      <c r="AO1" s="356"/>
      <c r="AP1" s="356"/>
      <c r="AQ1" s="356"/>
      <c r="AR1" s="356"/>
      <c r="AS1" s="356"/>
      <c r="AT1" s="356"/>
      <c r="AU1" s="356"/>
      <c r="AV1" s="356"/>
      <c r="AW1" s="356"/>
      <c r="AX1" s="356"/>
      <c r="AY1" s="356"/>
      <c r="AZ1" s="356"/>
      <c r="BA1" s="356"/>
      <c r="BB1" s="356"/>
      <c r="BC1" s="356"/>
      <c r="BD1" s="356"/>
      <c r="BE1" s="356"/>
      <c r="BF1" s="356"/>
      <c r="BG1" s="356"/>
      <c r="BH1" s="356"/>
      <c r="BI1" s="356"/>
      <c r="BJ1" s="356"/>
      <c r="BK1" s="356"/>
      <c r="BL1" s="356"/>
    </row>
    <row r="2" spans="1:64" s="1641" customFormat="1" ht="11.25" hidden="1" customHeight="1">
      <c r="L2" s="1426" t="s">
        <v>271</v>
      </c>
      <c r="M2" s="1426" t="s">
        <v>272</v>
      </c>
      <c r="R2" s="1426" t="s">
        <v>273</v>
      </c>
      <c r="S2" s="1426" t="s">
        <v>272</v>
      </c>
      <c r="X2" s="1426" t="s">
        <v>271</v>
      </c>
      <c r="Y2" s="1426" t="s">
        <v>272</v>
      </c>
      <c r="AD2" s="1426" t="s">
        <v>271</v>
      </c>
      <c r="AE2" s="1426" t="s">
        <v>272</v>
      </c>
      <c r="AJ2" s="1442"/>
      <c r="AK2" s="1442"/>
      <c r="AL2" s="1442"/>
      <c r="AM2" s="1442"/>
      <c r="AN2" s="1442"/>
      <c r="AO2" s="1442"/>
      <c r="AP2" s="1442"/>
      <c r="AQ2" s="1442"/>
      <c r="AR2" s="1442"/>
      <c r="AS2" s="1442"/>
      <c r="AT2" s="1442"/>
      <c r="AU2" s="1442"/>
      <c r="AV2" s="1442"/>
      <c r="AW2" s="1442"/>
      <c r="AX2" s="1442"/>
      <c r="AY2" s="1442"/>
      <c r="AZ2" s="1442"/>
      <c r="BA2" s="1442"/>
      <c r="BB2" s="1442"/>
      <c r="BC2" s="1442"/>
      <c r="BD2" s="1442"/>
      <c r="BE2" s="1442"/>
      <c r="BF2" s="1442"/>
      <c r="BG2" s="1442"/>
      <c r="BH2" s="1442"/>
      <c r="BI2" s="1442"/>
      <c r="BJ2" s="1442"/>
      <c r="BK2" s="1442"/>
      <c r="BL2" s="1442"/>
    </row>
    <row r="3" spans="1:64" s="1642" customFormat="1" ht="11.25" customHeight="1">
      <c r="AJ3" s="1441"/>
      <c r="AK3" s="225"/>
      <c r="AL3" s="1441"/>
      <c r="AM3" s="1441"/>
      <c r="AN3" s="1441"/>
      <c r="AO3" s="1441"/>
      <c r="AP3" s="1441"/>
      <c r="AQ3" s="1441"/>
      <c r="AR3" s="1441"/>
      <c r="AS3" s="1441"/>
      <c r="AT3" s="1441"/>
      <c r="AU3" s="1441"/>
      <c r="AV3" s="1441"/>
      <c r="AW3" s="1441"/>
      <c r="AX3" s="1441"/>
      <c r="AY3" s="1441"/>
      <c r="AZ3" s="1441"/>
      <c r="BA3" s="1441"/>
      <c r="BB3" s="1441"/>
      <c r="BC3" s="1441"/>
      <c r="BD3" s="1441"/>
      <c r="BE3" s="1441"/>
      <c r="BF3" s="1441"/>
      <c r="BG3" s="1441"/>
      <c r="BH3" s="1441"/>
      <c r="BI3" s="1441"/>
      <c r="BJ3" s="1441"/>
      <c r="BK3" s="1441"/>
      <c r="BL3" s="1441"/>
    </row>
    <row r="4" spans="1:64" s="1651" customFormat="1" ht="33" customHeight="1">
      <c r="A4" s="1032"/>
      <c r="B4" s="1031"/>
      <c r="C4" s="1379"/>
      <c r="D4" s="2079" t="s">
        <v>274</v>
      </c>
      <c r="E4" s="2079"/>
      <c r="F4" s="2079"/>
      <c r="G4" s="2079"/>
      <c r="H4" s="2079"/>
      <c r="I4" s="2079"/>
      <c r="J4" s="2079"/>
      <c r="K4" s="614"/>
      <c r="T4" s="1427"/>
      <c r="AJ4" s="1443"/>
      <c r="AK4" s="1444"/>
      <c r="AL4" s="1443"/>
      <c r="AM4" s="1443"/>
      <c r="AN4" s="1443"/>
      <c r="AO4" s="1443"/>
      <c r="AP4" s="1443"/>
      <c r="AQ4" s="1443"/>
      <c r="AR4" s="1443"/>
      <c r="AS4" s="1443"/>
      <c r="AT4" s="1443"/>
      <c r="AU4" s="1443"/>
      <c r="AV4" s="1443"/>
      <c r="AW4" s="1443"/>
      <c r="AX4" s="1443"/>
      <c r="AY4" s="1443"/>
      <c r="AZ4" s="1443"/>
      <c r="BA4" s="1443"/>
      <c r="BB4" s="1443"/>
      <c r="BC4" s="1443"/>
      <c r="BD4" s="1443"/>
      <c r="BE4" s="1443"/>
      <c r="BF4" s="1443"/>
      <c r="BG4" s="1443"/>
      <c r="BH4" s="1443"/>
      <c r="BI4" s="1443"/>
      <c r="BJ4" s="1443"/>
      <c r="BK4" s="1443"/>
      <c r="BL4" s="1443"/>
    </row>
    <row r="5" spans="1:64" s="1651" customFormat="1" ht="14.25" customHeight="1">
      <c r="A5" s="1493"/>
      <c r="B5" s="1492"/>
      <c r="C5" s="1379"/>
      <c r="D5" s="2102" t="str">
        <f>IF(org=0,"Не определено",org)</f>
        <v>ООО "Автозаводская ТЭЦ"</v>
      </c>
      <c r="E5" s="2102"/>
      <c r="F5" s="2102"/>
      <c r="G5" s="2102"/>
      <c r="H5" s="2102"/>
      <c r="I5" s="2102"/>
      <c r="J5" s="2102"/>
      <c r="K5" s="614"/>
      <c r="T5" s="1427"/>
      <c r="AJ5" s="1443"/>
      <c r="AK5" s="1444"/>
      <c r="AL5" s="1443"/>
      <c r="AM5" s="1443"/>
      <c r="AN5" s="1443"/>
      <c r="AO5" s="1443"/>
      <c r="AP5" s="1443"/>
      <c r="AQ5" s="1443"/>
      <c r="AR5" s="1443"/>
      <c r="AS5" s="1443"/>
      <c r="AT5" s="1443"/>
      <c r="AU5" s="1443"/>
      <c r="AV5" s="1443"/>
      <c r="AW5" s="1443"/>
      <c r="AX5" s="1443"/>
      <c r="AY5" s="1443"/>
      <c r="AZ5" s="1443"/>
      <c r="BA5" s="1443"/>
      <c r="BB5" s="1443"/>
      <c r="BC5" s="1443"/>
      <c r="BD5" s="1443"/>
      <c r="BE5" s="1443"/>
      <c r="BF5" s="1443"/>
      <c r="BG5" s="1443"/>
      <c r="BH5" s="1443"/>
      <c r="BI5" s="1443"/>
      <c r="BJ5" s="1443"/>
      <c r="BK5" s="1443"/>
      <c r="BL5" s="1443"/>
    </row>
    <row r="6" spans="1:64" s="1651" customFormat="1" ht="14.25" customHeight="1">
      <c r="A6" s="1032"/>
      <c r="B6" s="1031"/>
      <c r="C6" s="1379"/>
      <c r="D6" s="614"/>
      <c r="E6" s="614"/>
      <c r="F6" s="614"/>
      <c r="G6" s="614"/>
      <c r="H6" s="614"/>
      <c r="I6" s="614"/>
      <c r="J6" s="614"/>
      <c r="K6" s="614"/>
      <c r="T6" s="1427"/>
      <c r="AJ6" s="1443"/>
      <c r="AK6" s="1444"/>
      <c r="AL6" s="1443"/>
      <c r="AM6" s="1443"/>
      <c r="AN6" s="1443"/>
      <c r="AO6" s="1443"/>
      <c r="AP6" s="1443"/>
      <c r="AQ6" s="1443"/>
      <c r="AR6" s="1443"/>
      <c r="AS6" s="1443"/>
      <c r="AT6" s="1443"/>
      <c r="AU6" s="1443"/>
      <c r="AV6" s="1443"/>
      <c r="AW6" s="1443"/>
      <c r="AX6" s="1443"/>
      <c r="AY6" s="1443"/>
      <c r="AZ6" s="1443"/>
      <c r="BA6" s="1443"/>
      <c r="BB6" s="1443"/>
      <c r="BC6" s="1443"/>
      <c r="BD6" s="1443"/>
      <c r="BE6" s="1443"/>
      <c r="BF6" s="1443"/>
      <c r="BG6" s="1443"/>
      <c r="BH6" s="1443"/>
      <c r="BI6" s="1443"/>
      <c r="BJ6" s="1443"/>
      <c r="BK6" s="1443"/>
      <c r="BL6" s="1443"/>
    </row>
    <row r="7" spans="1:64" s="1775" customFormat="1" ht="0.75" customHeight="1">
      <c r="AJ7" s="356"/>
      <c r="AK7" s="356"/>
      <c r="AL7" s="356"/>
      <c r="AM7" s="356"/>
      <c r="AN7" s="356"/>
      <c r="AO7" s="356"/>
      <c r="AP7" s="356"/>
      <c r="AQ7" s="356"/>
      <c r="AR7" s="356"/>
      <c r="AS7" s="356"/>
      <c r="AT7" s="356"/>
      <c r="AU7" s="356"/>
      <c r="AV7" s="356"/>
      <c r="AW7" s="356"/>
      <c r="AX7" s="356"/>
      <c r="AY7" s="356"/>
      <c r="AZ7" s="356"/>
      <c r="BA7" s="356"/>
      <c r="BB7" s="356"/>
      <c r="BC7" s="356"/>
      <c r="BD7" s="356"/>
      <c r="BE7" s="356"/>
      <c r="BF7" s="356"/>
      <c r="BG7" s="356"/>
      <c r="BH7" s="356"/>
      <c r="BI7" s="356"/>
      <c r="BJ7" s="356"/>
      <c r="BK7" s="356"/>
      <c r="BL7" s="356"/>
    </row>
    <row r="8" spans="1:64" ht="31.5" customHeight="1">
      <c r="D8" s="2021" t="s">
        <v>88</v>
      </c>
      <c r="E8" s="2021" t="s">
        <v>105</v>
      </c>
      <c r="F8" s="2081" t="s">
        <v>123</v>
      </c>
      <c r="G8" s="2082"/>
      <c r="H8" s="2081" t="s">
        <v>88</v>
      </c>
      <c r="I8" s="2082"/>
      <c r="J8" s="2021" t="s">
        <v>124</v>
      </c>
      <c r="K8" s="1428"/>
      <c r="L8" s="2080" t="s">
        <v>275</v>
      </c>
      <c r="M8" s="2080"/>
      <c r="N8" s="2080"/>
      <c r="O8" s="2080"/>
      <c r="P8" s="2080"/>
      <c r="Q8" s="1429"/>
      <c r="R8" s="2003" t="s">
        <v>276</v>
      </c>
      <c r="S8" s="2008"/>
      <c r="T8" s="2008"/>
      <c r="U8" s="2008"/>
      <c r="V8" s="2008"/>
      <c r="W8" s="1429"/>
      <c r="X8" s="2021" t="s">
        <v>277</v>
      </c>
      <c r="Y8" s="2021"/>
      <c r="Z8" s="2021"/>
      <c r="AA8" s="2021"/>
      <c r="AB8" s="2021"/>
      <c r="AC8" s="1430"/>
      <c r="AD8" s="2021" t="s">
        <v>278</v>
      </c>
      <c r="AE8" s="2021"/>
      <c r="AF8" s="2021"/>
      <c r="AG8" s="2021"/>
      <c r="AH8" s="2003"/>
      <c r="AI8" s="2021" t="s">
        <v>279</v>
      </c>
      <c r="AJ8" s="1441"/>
    </row>
    <row r="9" spans="1:64" ht="22.5" customHeight="1">
      <c r="D9" s="2021"/>
      <c r="E9" s="2021"/>
      <c r="F9" s="2080" t="s">
        <v>89</v>
      </c>
      <c r="G9" s="2080" t="s">
        <v>129</v>
      </c>
      <c r="H9" s="2083"/>
      <c r="I9" s="2084"/>
      <c r="J9" s="2003"/>
      <c r="K9" s="1431"/>
      <c r="L9" s="2021" t="s">
        <v>280</v>
      </c>
      <c r="M9" s="2003"/>
      <c r="N9" s="2081" t="s">
        <v>88</v>
      </c>
      <c r="O9" s="2082"/>
      <c r="P9" s="2021" t="s">
        <v>130</v>
      </c>
      <c r="Q9" s="1428"/>
      <c r="R9" s="2021" t="s">
        <v>280</v>
      </c>
      <c r="S9" s="2003"/>
      <c r="T9" s="2081" t="s">
        <v>88</v>
      </c>
      <c r="U9" s="2082"/>
      <c r="V9" s="2021" t="s">
        <v>130</v>
      </c>
      <c r="W9" s="1428"/>
      <c r="X9" s="2021" t="s">
        <v>280</v>
      </c>
      <c r="Y9" s="2003"/>
      <c r="Z9" s="2081" t="s">
        <v>88</v>
      </c>
      <c r="AA9" s="2082"/>
      <c r="AB9" s="2021" t="s">
        <v>281</v>
      </c>
      <c r="AC9" s="1428"/>
      <c r="AD9" s="2021" t="s">
        <v>280</v>
      </c>
      <c r="AE9" s="2003"/>
      <c r="AF9" s="2081" t="s">
        <v>88</v>
      </c>
      <c r="AG9" s="2082"/>
      <c r="AH9" s="2003" t="s">
        <v>281</v>
      </c>
      <c r="AI9" s="2021"/>
      <c r="AJ9" s="1441"/>
    </row>
    <row r="10" spans="1:64" ht="22.5" customHeight="1">
      <c r="D10" s="2080"/>
      <c r="E10" s="2080"/>
      <c r="F10" s="2085"/>
      <c r="G10" s="2085"/>
      <c r="H10" s="2086"/>
      <c r="I10" s="2087"/>
      <c r="J10" s="2081"/>
      <c r="K10" s="1431"/>
      <c r="L10" s="1445" t="s">
        <v>282</v>
      </c>
      <c r="M10" s="1440" t="s">
        <v>283</v>
      </c>
      <c r="N10" s="2083"/>
      <c r="O10" s="2084"/>
      <c r="P10" s="2080"/>
      <c r="Q10" s="1428"/>
      <c r="R10" s="1445" t="s">
        <v>282</v>
      </c>
      <c r="S10" s="1440" t="s">
        <v>283</v>
      </c>
      <c r="T10" s="2083"/>
      <c r="U10" s="2084"/>
      <c r="V10" s="2080"/>
      <c r="W10" s="1428"/>
      <c r="X10" s="1445" t="s">
        <v>282</v>
      </c>
      <c r="Y10" s="1440" t="s">
        <v>283</v>
      </c>
      <c r="Z10" s="2083"/>
      <c r="AA10" s="2084"/>
      <c r="AB10" s="2080"/>
      <c r="AC10" s="1428"/>
      <c r="AD10" s="1445" t="s">
        <v>282</v>
      </c>
      <c r="AE10" s="1440" t="s">
        <v>283</v>
      </c>
      <c r="AF10" s="2083"/>
      <c r="AG10" s="2084"/>
      <c r="AH10" s="2081"/>
      <c r="AI10" s="2080"/>
      <c r="AJ10" s="1441"/>
      <c r="AK10" s="173" t="s">
        <v>284</v>
      </c>
      <c r="AL10" s="173" t="s">
        <v>131</v>
      </c>
    </row>
    <row r="11" spans="1:64" ht="14.25" customHeight="1">
      <c r="D11" s="2088" t="s">
        <v>109</v>
      </c>
      <c r="E11" s="2090" t="s">
        <v>285</v>
      </c>
      <c r="F11" s="2090" t="s">
        <v>286</v>
      </c>
      <c r="G11" s="2093" t="s">
        <v>56</v>
      </c>
      <c r="H11" s="1465"/>
      <c r="I11" s="2095"/>
      <c r="J11" s="2054"/>
      <c r="K11" s="1376"/>
      <c r="L11" s="2039"/>
      <c r="M11" s="2039"/>
      <c r="N11" s="1450"/>
      <c r="O11" s="2039"/>
      <c r="P11" s="2054"/>
      <c r="Q11" s="1451"/>
      <c r="R11" s="2039"/>
      <c r="S11" s="2039"/>
      <c r="T11" s="1452"/>
      <c r="U11" s="2039"/>
      <c r="V11" s="2054"/>
      <c r="W11" s="1453"/>
      <c r="X11" s="2039"/>
      <c r="Y11" s="2039"/>
      <c r="Z11" s="1450"/>
      <c r="AA11" s="2039"/>
      <c r="AB11" s="2054"/>
      <c r="AC11" s="1454"/>
      <c r="AD11" s="2039"/>
      <c r="AE11" s="2039"/>
      <c r="AF11" s="1375"/>
      <c r="AG11" s="1375"/>
      <c r="AH11" s="1455"/>
      <c r="AI11" s="1181"/>
      <c r="AJ11" s="1441"/>
    </row>
    <row r="12" spans="1:64" ht="14.25" customHeight="1">
      <c r="D12" s="2088"/>
      <c r="E12" s="2090"/>
      <c r="F12" s="2090"/>
      <c r="G12" s="2094"/>
      <c r="H12" s="1466"/>
      <c r="I12" s="2096"/>
      <c r="J12" s="2055"/>
      <c r="K12" s="1474"/>
      <c r="L12" s="2040"/>
      <c r="M12" s="2040"/>
      <c r="N12" s="1456"/>
      <c r="O12" s="2040"/>
      <c r="P12" s="2055"/>
      <c r="Q12" s="1457"/>
      <c r="R12" s="2040"/>
      <c r="S12" s="2040"/>
      <c r="T12" s="1458"/>
      <c r="U12" s="2040"/>
      <c r="V12" s="2055"/>
      <c r="W12" s="1459"/>
      <c r="X12" s="2040"/>
      <c r="Y12" s="2040"/>
      <c r="Z12" s="1456"/>
      <c r="AA12" s="2040"/>
      <c r="AB12" s="2055"/>
      <c r="AC12" s="1460"/>
      <c r="AD12" s="2040"/>
      <c r="AE12" s="2040"/>
      <c r="AF12" s="1461"/>
      <c r="AG12" s="1461"/>
      <c r="AH12" s="2099"/>
      <c r="AI12" s="2100"/>
      <c r="AJ12" s="1441"/>
    </row>
    <row r="13" spans="1:64" ht="14.25" customHeight="1">
      <c r="D13" s="2088"/>
      <c r="E13" s="2090"/>
      <c r="F13" s="2090"/>
      <c r="G13" s="2094"/>
      <c r="H13" s="1466"/>
      <c r="I13" s="2096"/>
      <c r="J13" s="2055"/>
      <c r="K13" s="1474"/>
      <c r="L13" s="2040"/>
      <c r="M13" s="2040"/>
      <c r="N13" s="1456"/>
      <c r="O13" s="2040"/>
      <c r="P13" s="2055"/>
      <c r="Q13" s="1457"/>
      <c r="R13" s="2040"/>
      <c r="S13" s="2040"/>
      <c r="T13" s="1458"/>
      <c r="U13" s="2040"/>
      <c r="V13" s="2055"/>
      <c r="W13" s="1459"/>
      <c r="X13" s="2040"/>
      <c r="Y13" s="2040"/>
      <c r="Z13" s="1374"/>
      <c r="AA13" s="1461"/>
      <c r="AB13" s="2099"/>
      <c r="AC13" s="2099"/>
      <c r="AD13" s="2099"/>
      <c r="AE13" s="2099"/>
      <c r="AF13" s="2099"/>
      <c r="AG13" s="2099"/>
      <c r="AH13" s="2099"/>
      <c r="AI13" s="2100"/>
      <c r="AJ13" s="1441"/>
    </row>
    <row r="14" spans="1:64" ht="14.25" customHeight="1">
      <c r="D14" s="2088"/>
      <c r="E14" s="2090"/>
      <c r="F14" s="2090"/>
      <c r="G14" s="2094"/>
      <c r="H14" s="1466"/>
      <c r="I14" s="2096"/>
      <c r="J14" s="2055"/>
      <c r="K14" s="1474"/>
      <c r="L14" s="2040"/>
      <c r="M14" s="2040"/>
      <c r="N14" s="1456"/>
      <c r="O14" s="2040"/>
      <c r="P14" s="2055"/>
      <c r="Q14" s="1457"/>
      <c r="R14" s="2040"/>
      <c r="S14" s="2040"/>
      <c r="T14" s="1462"/>
      <c r="U14" s="1463"/>
      <c r="V14" s="2099"/>
      <c r="W14" s="2099"/>
      <c r="X14" s="2099"/>
      <c r="Y14" s="2099"/>
      <c r="Z14" s="2099"/>
      <c r="AA14" s="2099"/>
      <c r="AB14" s="2099"/>
      <c r="AC14" s="2099"/>
      <c r="AD14" s="2099"/>
      <c r="AE14" s="2099"/>
      <c r="AF14" s="2099"/>
      <c r="AG14" s="2099"/>
      <c r="AH14" s="2099"/>
      <c r="AI14" s="2100"/>
      <c r="AJ14" s="1441"/>
    </row>
    <row r="15" spans="1:64" ht="11.25" customHeight="1">
      <c r="D15" s="2088"/>
      <c r="E15" s="2090"/>
      <c r="F15" s="2090"/>
      <c r="G15" s="2094"/>
      <c r="H15" s="1467"/>
      <c r="I15" s="2096"/>
      <c r="J15" s="2055"/>
      <c r="K15" s="1474"/>
      <c r="L15" s="2040"/>
      <c r="M15" s="2040"/>
      <c r="N15" s="1461"/>
      <c r="O15" s="1461"/>
      <c r="P15" s="2099"/>
      <c r="Q15" s="2099"/>
      <c r="R15" s="2099"/>
      <c r="S15" s="2099"/>
      <c r="T15" s="2099"/>
      <c r="U15" s="2099"/>
      <c r="V15" s="2099"/>
      <c r="W15" s="2099"/>
      <c r="X15" s="2099"/>
      <c r="Y15" s="2099"/>
      <c r="Z15" s="2099"/>
      <c r="AA15" s="2099"/>
      <c r="AB15" s="2099"/>
      <c r="AC15" s="2099"/>
      <c r="AD15" s="2099"/>
      <c r="AE15" s="2099"/>
      <c r="AF15" s="2099"/>
      <c r="AG15" s="2099"/>
      <c r="AH15" s="2099"/>
      <c r="AI15" s="2100"/>
      <c r="AJ15" s="1441"/>
    </row>
    <row r="16" spans="1:64" s="1642" customFormat="1" ht="11.25" customHeight="1">
      <c r="D16" s="2089"/>
      <c r="E16" s="2091"/>
      <c r="F16" s="2092"/>
      <c r="G16" s="2036"/>
      <c r="H16" s="1464"/>
      <c r="I16" s="1468"/>
      <c r="J16" s="2097"/>
      <c r="K16" s="2097"/>
      <c r="L16" s="2097"/>
      <c r="M16" s="2097"/>
      <c r="N16" s="2097"/>
      <c r="O16" s="2097"/>
      <c r="P16" s="2097"/>
      <c r="Q16" s="2097"/>
      <c r="R16" s="2097"/>
      <c r="S16" s="2097"/>
      <c r="T16" s="2097"/>
      <c r="U16" s="2097"/>
      <c r="V16" s="2097"/>
      <c r="W16" s="2097"/>
      <c r="X16" s="2097"/>
      <c r="Y16" s="2097"/>
      <c r="Z16" s="2097"/>
      <c r="AA16" s="2097"/>
      <c r="AB16" s="2097"/>
      <c r="AC16" s="2097"/>
      <c r="AD16" s="2097"/>
      <c r="AE16" s="2097"/>
      <c r="AF16" s="2097"/>
      <c r="AG16" s="2097"/>
      <c r="AH16" s="2097"/>
      <c r="AI16" s="2098"/>
      <c r="AJ16" s="1441"/>
      <c r="AK16" s="225"/>
      <c r="AL16" s="1441"/>
      <c r="AM16" s="1441"/>
      <c r="AN16" s="1441"/>
      <c r="AO16" s="1441"/>
      <c r="AP16" s="1441"/>
      <c r="AQ16" s="1441"/>
      <c r="AR16" s="1441"/>
      <c r="AS16" s="1441"/>
      <c r="AT16" s="1441"/>
      <c r="AU16" s="1441"/>
      <c r="AV16" s="1441"/>
      <c r="AW16" s="1441"/>
      <c r="AX16" s="1441"/>
      <c r="AY16" s="1441"/>
      <c r="AZ16" s="1441"/>
      <c r="BA16" s="1441"/>
      <c r="BB16" s="1441"/>
      <c r="BC16" s="1441"/>
      <c r="BD16" s="1441"/>
      <c r="BE16" s="1441"/>
      <c r="BF16" s="1441"/>
      <c r="BG16" s="1441"/>
      <c r="BH16" s="1441"/>
      <c r="BI16" s="1441"/>
      <c r="BJ16" s="1441"/>
      <c r="BK16" s="1441"/>
      <c r="BL16" s="1441"/>
    </row>
    <row r="17" spans="4:64" ht="14.25" customHeight="1">
      <c r="D17" s="2088" t="s">
        <v>110</v>
      </c>
      <c r="E17" s="2090" t="s">
        <v>285</v>
      </c>
      <c r="F17" s="2090" t="s">
        <v>287</v>
      </c>
      <c r="G17" s="2093" t="s">
        <v>56</v>
      </c>
      <c r="H17" s="1465"/>
      <c r="I17" s="2095"/>
      <c r="J17" s="2054"/>
      <c r="K17" s="1376"/>
      <c r="L17" s="2039"/>
      <c r="M17" s="2039"/>
      <c r="N17" s="1450"/>
      <c r="O17" s="2039"/>
      <c r="P17" s="2054"/>
      <c r="Q17" s="1451"/>
      <c r="R17" s="2039"/>
      <c r="S17" s="2039"/>
      <c r="T17" s="1452"/>
      <c r="U17" s="2039"/>
      <c r="V17" s="2054"/>
      <c r="W17" s="1453"/>
      <c r="X17" s="2039"/>
      <c r="Y17" s="2039"/>
      <c r="Z17" s="1450"/>
      <c r="AA17" s="2039"/>
      <c r="AB17" s="2054"/>
      <c r="AC17" s="1454"/>
      <c r="AD17" s="2039"/>
      <c r="AE17" s="2039"/>
      <c r="AF17" s="1375"/>
      <c r="AG17" s="1375"/>
      <c r="AH17" s="1455"/>
      <c r="AI17" s="1181"/>
      <c r="AJ17" s="1441"/>
    </row>
    <row r="18" spans="4:64" ht="14.25" customHeight="1">
      <c r="D18" s="2088"/>
      <c r="E18" s="2090"/>
      <c r="F18" s="2090"/>
      <c r="G18" s="2094"/>
      <c r="H18" s="1466"/>
      <c r="I18" s="2096"/>
      <c r="J18" s="2055"/>
      <c r="K18" s="1449"/>
      <c r="L18" s="2040"/>
      <c r="M18" s="2040"/>
      <c r="N18" s="1456"/>
      <c r="O18" s="2040"/>
      <c r="P18" s="2055"/>
      <c r="Q18" s="1457"/>
      <c r="R18" s="2040"/>
      <c r="S18" s="2040"/>
      <c r="T18" s="1458"/>
      <c r="U18" s="2040"/>
      <c r="V18" s="2055"/>
      <c r="W18" s="1459"/>
      <c r="X18" s="2040"/>
      <c r="Y18" s="2040"/>
      <c r="Z18" s="1456"/>
      <c r="AA18" s="2040"/>
      <c r="AB18" s="2055"/>
      <c r="AC18" s="1460"/>
      <c r="AD18" s="2040"/>
      <c r="AE18" s="2040"/>
      <c r="AF18" s="1461"/>
      <c r="AG18" s="1461"/>
      <c r="AH18" s="2099"/>
      <c r="AI18" s="2100"/>
      <c r="AJ18" s="1441"/>
    </row>
    <row r="19" spans="4:64" ht="14.25" customHeight="1">
      <c r="D19" s="2088"/>
      <c r="E19" s="2090"/>
      <c r="F19" s="2090"/>
      <c r="G19" s="2094"/>
      <c r="H19" s="1466"/>
      <c r="I19" s="2096"/>
      <c r="J19" s="2055"/>
      <c r="K19" s="1449"/>
      <c r="L19" s="2040"/>
      <c r="M19" s="2040"/>
      <c r="N19" s="1456"/>
      <c r="O19" s="2040"/>
      <c r="P19" s="2055"/>
      <c r="Q19" s="1457"/>
      <c r="R19" s="2040"/>
      <c r="S19" s="2040"/>
      <c r="T19" s="1458"/>
      <c r="U19" s="2040"/>
      <c r="V19" s="2055"/>
      <c r="W19" s="1459"/>
      <c r="X19" s="2040"/>
      <c r="Y19" s="2040"/>
      <c r="Z19" s="1374"/>
      <c r="AA19" s="1461"/>
      <c r="AB19" s="2099"/>
      <c r="AC19" s="2099"/>
      <c r="AD19" s="2099"/>
      <c r="AE19" s="2099"/>
      <c r="AF19" s="2099"/>
      <c r="AG19" s="2099"/>
      <c r="AH19" s="2099"/>
      <c r="AI19" s="2100"/>
      <c r="AJ19" s="1441"/>
    </row>
    <row r="20" spans="4:64" ht="14.25" customHeight="1">
      <c r="D20" s="2088"/>
      <c r="E20" s="2090"/>
      <c r="F20" s="2090"/>
      <c r="G20" s="2094"/>
      <c r="H20" s="1466"/>
      <c r="I20" s="2096"/>
      <c r="J20" s="2055"/>
      <c r="K20" s="1449"/>
      <c r="L20" s="2040"/>
      <c r="M20" s="2040"/>
      <c r="N20" s="1456"/>
      <c r="O20" s="2040"/>
      <c r="P20" s="2055"/>
      <c r="Q20" s="1457"/>
      <c r="R20" s="2040"/>
      <c r="S20" s="2040"/>
      <c r="T20" s="1462"/>
      <c r="U20" s="1463"/>
      <c r="V20" s="2099"/>
      <c r="W20" s="2099"/>
      <c r="X20" s="2099"/>
      <c r="Y20" s="2099"/>
      <c r="Z20" s="2099"/>
      <c r="AA20" s="2099"/>
      <c r="AB20" s="2099"/>
      <c r="AC20" s="2099"/>
      <c r="AD20" s="2099"/>
      <c r="AE20" s="2099"/>
      <c r="AF20" s="2099"/>
      <c r="AG20" s="2099"/>
      <c r="AH20" s="2099"/>
      <c r="AI20" s="2100"/>
      <c r="AJ20" s="1441"/>
    </row>
    <row r="21" spans="4:64" ht="11.25" customHeight="1">
      <c r="D21" s="2088"/>
      <c r="E21" s="2090"/>
      <c r="F21" s="2090"/>
      <c r="G21" s="2094"/>
      <c r="H21" s="1467"/>
      <c r="I21" s="2096"/>
      <c r="J21" s="2055"/>
      <c r="K21" s="1449"/>
      <c r="L21" s="2040"/>
      <c r="M21" s="2040"/>
      <c r="N21" s="1461"/>
      <c r="O21" s="1461"/>
      <c r="P21" s="2099"/>
      <c r="Q21" s="2099"/>
      <c r="R21" s="2099"/>
      <c r="S21" s="2099"/>
      <c r="T21" s="2099"/>
      <c r="U21" s="2099"/>
      <c r="V21" s="2099"/>
      <c r="W21" s="2099"/>
      <c r="X21" s="2099"/>
      <c r="Y21" s="2099"/>
      <c r="Z21" s="2099"/>
      <c r="AA21" s="2099"/>
      <c r="AB21" s="2099"/>
      <c r="AC21" s="2099"/>
      <c r="AD21" s="2099"/>
      <c r="AE21" s="2099"/>
      <c r="AF21" s="2099"/>
      <c r="AG21" s="2099"/>
      <c r="AH21" s="2099"/>
      <c r="AI21" s="2100"/>
      <c r="AJ21" s="1441"/>
    </row>
    <row r="22" spans="4:64" s="1642" customFormat="1" ht="11.25" customHeight="1">
      <c r="D22" s="2089"/>
      <c r="E22" s="2091"/>
      <c r="F22" s="2092"/>
      <c r="G22" s="2036"/>
      <c r="H22" s="1464"/>
      <c r="I22" s="1468"/>
      <c r="J22" s="2097"/>
      <c r="K22" s="2097"/>
      <c r="L22" s="2097"/>
      <c r="M22" s="2097"/>
      <c r="N22" s="2097"/>
      <c r="O22" s="2097"/>
      <c r="P22" s="2097"/>
      <c r="Q22" s="2097"/>
      <c r="R22" s="2097"/>
      <c r="S22" s="2097"/>
      <c r="T22" s="2097"/>
      <c r="U22" s="2097"/>
      <c r="V22" s="2097"/>
      <c r="W22" s="2097"/>
      <c r="X22" s="2097"/>
      <c r="Y22" s="2097"/>
      <c r="Z22" s="2097"/>
      <c r="AA22" s="2097"/>
      <c r="AB22" s="2097"/>
      <c r="AC22" s="2097"/>
      <c r="AD22" s="2097"/>
      <c r="AE22" s="2097"/>
      <c r="AF22" s="2097"/>
      <c r="AG22" s="2097"/>
      <c r="AH22" s="2097"/>
      <c r="AI22" s="2098"/>
      <c r="AJ22" s="1441"/>
      <c r="AK22" s="225"/>
      <c r="AL22" s="1441"/>
      <c r="AM22" s="1441"/>
      <c r="AN22" s="1441"/>
      <c r="AO22" s="1441"/>
      <c r="AP22" s="1441"/>
      <c r="AQ22" s="1441"/>
      <c r="AR22" s="1441"/>
      <c r="AS22" s="1441"/>
      <c r="AT22" s="1441"/>
      <c r="AU22" s="1441"/>
      <c r="AV22" s="1441"/>
      <c r="AW22" s="1441"/>
      <c r="AX22" s="1441"/>
      <c r="AY22" s="1441"/>
      <c r="AZ22" s="1441"/>
      <c r="BA22" s="1441"/>
      <c r="BB22" s="1441"/>
      <c r="BC22" s="1441"/>
      <c r="BD22" s="1441"/>
      <c r="BE22" s="1441"/>
      <c r="BF22" s="1441"/>
      <c r="BG22" s="1441"/>
      <c r="BH22" s="1441"/>
      <c r="BI22" s="1441"/>
      <c r="BJ22" s="1441"/>
      <c r="BK22" s="1441"/>
      <c r="BL22" s="1441"/>
    </row>
    <row r="23" spans="4:64" ht="14.25" customHeight="1">
      <c r="D23" s="2088" t="s">
        <v>90</v>
      </c>
      <c r="E23" s="2090" t="s">
        <v>285</v>
      </c>
      <c r="F23" s="2090" t="s">
        <v>288</v>
      </c>
      <c r="G23" s="2093" t="s">
        <v>56</v>
      </c>
      <c r="H23" s="1465"/>
      <c r="I23" s="2095"/>
      <c r="J23" s="2054"/>
      <c r="K23" s="1376"/>
      <c r="L23" s="2039"/>
      <c r="M23" s="2039"/>
      <c r="N23" s="1450"/>
      <c r="O23" s="2039"/>
      <c r="P23" s="2054"/>
      <c r="Q23" s="1451"/>
      <c r="R23" s="2039"/>
      <c r="S23" s="2039"/>
      <c r="T23" s="1452"/>
      <c r="U23" s="2039"/>
      <c r="V23" s="2054"/>
      <c r="W23" s="1453"/>
      <c r="X23" s="2039"/>
      <c r="Y23" s="2039"/>
      <c r="Z23" s="1450"/>
      <c r="AA23" s="2039"/>
      <c r="AB23" s="2054"/>
      <c r="AC23" s="1454"/>
      <c r="AD23" s="2039"/>
      <c r="AE23" s="2039"/>
      <c r="AF23" s="1375"/>
      <c r="AG23" s="1375"/>
      <c r="AH23" s="1455"/>
      <c r="AI23" s="1181"/>
      <c r="AJ23" s="1441"/>
      <c r="AK23" s="225" t="s">
        <v>98</v>
      </c>
    </row>
    <row r="24" spans="4:64" ht="14.25" customHeight="1">
      <c r="D24" s="2088"/>
      <c r="E24" s="2090"/>
      <c r="F24" s="2090"/>
      <c r="G24" s="2094"/>
      <c r="H24" s="1466"/>
      <c r="I24" s="2096"/>
      <c r="J24" s="2055"/>
      <c r="K24" s="1474"/>
      <c r="L24" s="2040"/>
      <c r="M24" s="2040"/>
      <c r="N24" s="1456"/>
      <c r="O24" s="2040"/>
      <c r="P24" s="2055"/>
      <c r="Q24" s="1457"/>
      <c r="R24" s="2040"/>
      <c r="S24" s="2040"/>
      <c r="T24" s="1458"/>
      <c r="U24" s="2040"/>
      <c r="V24" s="2055"/>
      <c r="W24" s="1459"/>
      <c r="X24" s="2040"/>
      <c r="Y24" s="2040"/>
      <c r="Z24" s="1456"/>
      <c r="AA24" s="2040"/>
      <c r="AB24" s="2055"/>
      <c r="AC24" s="1460"/>
      <c r="AD24" s="2040"/>
      <c r="AE24" s="2040"/>
      <c r="AF24" s="1461"/>
      <c r="AG24" s="1461"/>
      <c r="AH24" s="2099"/>
      <c r="AI24" s="2100"/>
      <c r="AJ24" s="1441"/>
    </row>
    <row r="25" spans="4:64" ht="14.25" customHeight="1">
      <c r="D25" s="2088"/>
      <c r="E25" s="2090"/>
      <c r="F25" s="2090"/>
      <c r="G25" s="2094"/>
      <c r="H25" s="1466"/>
      <c r="I25" s="2096"/>
      <c r="J25" s="2055"/>
      <c r="K25" s="1474"/>
      <c r="L25" s="2040"/>
      <c r="M25" s="2040"/>
      <c r="N25" s="1456"/>
      <c r="O25" s="2040"/>
      <c r="P25" s="2055"/>
      <c r="Q25" s="1457"/>
      <c r="R25" s="2040"/>
      <c r="S25" s="2040"/>
      <c r="T25" s="1458"/>
      <c r="U25" s="2040"/>
      <c r="V25" s="2055"/>
      <c r="W25" s="1459"/>
      <c r="X25" s="2040"/>
      <c r="Y25" s="2040"/>
      <c r="Z25" s="1374"/>
      <c r="AA25" s="1461"/>
      <c r="AB25" s="2099"/>
      <c r="AC25" s="2099"/>
      <c r="AD25" s="2099"/>
      <c r="AE25" s="2099"/>
      <c r="AF25" s="2099"/>
      <c r="AG25" s="2099"/>
      <c r="AH25" s="2099"/>
      <c r="AI25" s="2100"/>
      <c r="AJ25" s="1441"/>
    </row>
    <row r="26" spans="4:64" ht="14.25" customHeight="1">
      <c r="D26" s="2088"/>
      <c r="E26" s="2090"/>
      <c r="F26" s="2090"/>
      <c r="G26" s="2094"/>
      <c r="H26" s="1466"/>
      <c r="I26" s="2096"/>
      <c r="J26" s="2055"/>
      <c r="K26" s="1474"/>
      <c r="L26" s="2040"/>
      <c r="M26" s="2040"/>
      <c r="N26" s="1456"/>
      <c r="O26" s="2040"/>
      <c r="P26" s="2055"/>
      <c r="Q26" s="1457"/>
      <c r="R26" s="2040"/>
      <c r="S26" s="2040"/>
      <c r="T26" s="1462"/>
      <c r="U26" s="1463"/>
      <c r="V26" s="2099"/>
      <c r="W26" s="2099"/>
      <c r="X26" s="2099"/>
      <c r="Y26" s="2099"/>
      <c r="Z26" s="2099"/>
      <c r="AA26" s="2099"/>
      <c r="AB26" s="2099"/>
      <c r="AC26" s="2099"/>
      <c r="AD26" s="2099"/>
      <c r="AE26" s="2099"/>
      <c r="AF26" s="2099"/>
      <c r="AG26" s="2099"/>
      <c r="AH26" s="2099"/>
      <c r="AI26" s="2100"/>
      <c r="AJ26" s="1441"/>
    </row>
    <row r="27" spans="4:64" ht="11.25" customHeight="1">
      <c r="D27" s="2088"/>
      <c r="E27" s="2090"/>
      <c r="F27" s="2090"/>
      <c r="G27" s="2094"/>
      <c r="H27" s="1467"/>
      <c r="I27" s="2096"/>
      <c r="J27" s="2055"/>
      <c r="K27" s="1474"/>
      <c r="L27" s="2040"/>
      <c r="M27" s="2040"/>
      <c r="N27" s="1461"/>
      <c r="O27" s="1461"/>
      <c r="P27" s="2099"/>
      <c r="Q27" s="2099"/>
      <c r="R27" s="2099"/>
      <c r="S27" s="2099"/>
      <c r="T27" s="2099"/>
      <c r="U27" s="2099"/>
      <c r="V27" s="2099"/>
      <c r="W27" s="2099"/>
      <c r="X27" s="2099"/>
      <c r="Y27" s="2099"/>
      <c r="Z27" s="2099"/>
      <c r="AA27" s="2099"/>
      <c r="AB27" s="2099"/>
      <c r="AC27" s="2099"/>
      <c r="AD27" s="2099"/>
      <c r="AE27" s="2099"/>
      <c r="AF27" s="2099"/>
      <c r="AG27" s="2099"/>
      <c r="AH27" s="2099"/>
      <c r="AI27" s="2100"/>
      <c r="AJ27" s="1441"/>
    </row>
    <row r="28" spans="4:64" s="1642" customFormat="1" ht="11.25" customHeight="1">
      <c r="D28" s="2089"/>
      <c r="E28" s="2091"/>
      <c r="F28" s="2092"/>
      <c r="G28" s="2036"/>
      <c r="H28" s="1464"/>
      <c r="I28" s="1468"/>
      <c r="J28" s="2097"/>
      <c r="K28" s="2097"/>
      <c r="L28" s="2097"/>
      <c r="M28" s="2097"/>
      <c r="N28" s="2097"/>
      <c r="O28" s="2097"/>
      <c r="P28" s="2097"/>
      <c r="Q28" s="2097"/>
      <c r="R28" s="2097"/>
      <c r="S28" s="2097"/>
      <c r="T28" s="2097"/>
      <c r="U28" s="2097"/>
      <c r="V28" s="2097"/>
      <c r="W28" s="2097"/>
      <c r="X28" s="2097"/>
      <c r="Y28" s="2097"/>
      <c r="Z28" s="2097"/>
      <c r="AA28" s="2097"/>
      <c r="AB28" s="2097"/>
      <c r="AC28" s="2097"/>
      <c r="AD28" s="2097"/>
      <c r="AE28" s="2097"/>
      <c r="AF28" s="2097"/>
      <c r="AG28" s="2097"/>
      <c r="AH28" s="2097"/>
      <c r="AI28" s="2098"/>
      <c r="AJ28" s="1441"/>
      <c r="AK28" s="225"/>
      <c r="AL28" s="1441"/>
      <c r="AM28" s="1441"/>
      <c r="AN28" s="1441"/>
      <c r="AO28" s="1441"/>
      <c r="AP28" s="1441"/>
      <c r="AQ28" s="1441"/>
      <c r="AR28" s="1441"/>
      <c r="AS28" s="1441"/>
      <c r="AT28" s="1441"/>
      <c r="AU28" s="1441"/>
      <c r="AV28" s="1441"/>
      <c r="AW28" s="1441"/>
      <c r="AX28" s="1441"/>
      <c r="AY28" s="1441"/>
      <c r="AZ28" s="1441"/>
      <c r="BA28" s="1441"/>
      <c r="BB28" s="1441"/>
      <c r="BC28" s="1441"/>
      <c r="BD28" s="1441"/>
      <c r="BE28" s="1441"/>
      <c r="BF28" s="1441"/>
      <c r="BG28" s="1441"/>
      <c r="BH28" s="1441"/>
      <c r="BI28" s="1441"/>
      <c r="BJ28" s="1441"/>
      <c r="BK28" s="1441"/>
      <c r="BL28" s="1441"/>
    </row>
    <row r="29" spans="4:64" ht="14.25" customHeight="1">
      <c r="D29" s="2088" t="s">
        <v>91</v>
      </c>
      <c r="E29" s="2090" t="s">
        <v>285</v>
      </c>
      <c r="F29" s="2090" t="s">
        <v>289</v>
      </c>
      <c r="G29" s="2093" t="s">
        <v>56</v>
      </c>
      <c r="H29" s="1465"/>
      <c r="I29" s="2095"/>
      <c r="J29" s="2054"/>
      <c r="K29" s="1376"/>
      <c r="L29" s="2039"/>
      <c r="M29" s="2039"/>
      <c r="N29" s="1450"/>
      <c r="O29" s="2039"/>
      <c r="P29" s="2054"/>
      <c r="Q29" s="1451"/>
      <c r="R29" s="2039"/>
      <c r="S29" s="2039"/>
      <c r="T29" s="1452"/>
      <c r="U29" s="2039"/>
      <c r="V29" s="2054"/>
      <c r="W29" s="1453"/>
      <c r="X29" s="2039"/>
      <c r="Y29" s="2039"/>
      <c r="Z29" s="1450"/>
      <c r="AA29" s="2039"/>
      <c r="AB29" s="2054"/>
      <c r="AC29" s="1454"/>
      <c r="AD29" s="2039"/>
      <c r="AE29" s="2039"/>
      <c r="AF29" s="1375"/>
      <c r="AG29" s="1375"/>
      <c r="AH29" s="1455"/>
      <c r="AI29" s="1181"/>
      <c r="AJ29" s="1441"/>
    </row>
    <row r="30" spans="4:64" ht="14.25" customHeight="1">
      <c r="D30" s="2088"/>
      <c r="E30" s="2090"/>
      <c r="F30" s="2090"/>
      <c r="G30" s="2094"/>
      <c r="H30" s="1466"/>
      <c r="I30" s="2096"/>
      <c r="J30" s="2055"/>
      <c r="K30" s="1449"/>
      <c r="L30" s="2040"/>
      <c r="M30" s="2040"/>
      <c r="N30" s="1456"/>
      <c r="O30" s="2040"/>
      <c r="P30" s="2055"/>
      <c r="Q30" s="1457"/>
      <c r="R30" s="2040"/>
      <c r="S30" s="2040"/>
      <c r="T30" s="1458"/>
      <c r="U30" s="2040"/>
      <c r="V30" s="2055"/>
      <c r="W30" s="1459"/>
      <c r="X30" s="2040"/>
      <c r="Y30" s="2040"/>
      <c r="Z30" s="1456"/>
      <c r="AA30" s="2040"/>
      <c r="AB30" s="2055"/>
      <c r="AC30" s="1460"/>
      <c r="AD30" s="2040"/>
      <c r="AE30" s="2040"/>
      <c r="AF30" s="1461"/>
      <c r="AG30" s="1461"/>
      <c r="AH30" s="2099"/>
      <c r="AI30" s="2100"/>
      <c r="AJ30" s="1441"/>
    </row>
    <row r="31" spans="4:64" ht="14.25" customHeight="1">
      <c r="D31" s="2088"/>
      <c r="E31" s="2090"/>
      <c r="F31" s="2090"/>
      <c r="G31" s="2094"/>
      <c r="H31" s="1466"/>
      <c r="I31" s="2096"/>
      <c r="J31" s="2055"/>
      <c r="K31" s="1449"/>
      <c r="L31" s="2040"/>
      <c r="M31" s="2040"/>
      <c r="N31" s="1456"/>
      <c r="O31" s="2040"/>
      <c r="P31" s="2055"/>
      <c r="Q31" s="1457"/>
      <c r="R31" s="2040"/>
      <c r="S31" s="2040"/>
      <c r="T31" s="1458"/>
      <c r="U31" s="2040"/>
      <c r="V31" s="2055"/>
      <c r="W31" s="1459"/>
      <c r="X31" s="2040"/>
      <c r="Y31" s="2040"/>
      <c r="Z31" s="1374"/>
      <c r="AA31" s="1461"/>
      <c r="AB31" s="2099"/>
      <c r="AC31" s="2099"/>
      <c r="AD31" s="2099"/>
      <c r="AE31" s="2099"/>
      <c r="AF31" s="2099"/>
      <c r="AG31" s="2099"/>
      <c r="AH31" s="2099"/>
      <c r="AI31" s="2100"/>
      <c r="AJ31" s="1441"/>
    </row>
    <row r="32" spans="4:64" ht="14.25" customHeight="1">
      <c r="D32" s="2088"/>
      <c r="E32" s="2090"/>
      <c r="F32" s="2090"/>
      <c r="G32" s="2094"/>
      <c r="H32" s="1466"/>
      <c r="I32" s="2096"/>
      <c r="J32" s="2055"/>
      <c r="K32" s="1449"/>
      <c r="L32" s="2040"/>
      <c r="M32" s="2040"/>
      <c r="N32" s="1456"/>
      <c r="O32" s="2040"/>
      <c r="P32" s="2055"/>
      <c r="Q32" s="1457"/>
      <c r="R32" s="2040"/>
      <c r="S32" s="2040"/>
      <c r="T32" s="1462"/>
      <c r="U32" s="1463"/>
      <c r="V32" s="2099"/>
      <c r="W32" s="2099"/>
      <c r="X32" s="2099"/>
      <c r="Y32" s="2099"/>
      <c r="Z32" s="2099"/>
      <c r="AA32" s="2099"/>
      <c r="AB32" s="2099"/>
      <c r="AC32" s="2099"/>
      <c r="AD32" s="2099"/>
      <c r="AE32" s="2099"/>
      <c r="AF32" s="2099"/>
      <c r="AG32" s="2099"/>
      <c r="AH32" s="2099"/>
      <c r="AI32" s="2100"/>
      <c r="AJ32" s="1441"/>
    </row>
    <row r="33" spans="4:64" ht="11.25" customHeight="1">
      <c r="D33" s="2088"/>
      <c r="E33" s="2090"/>
      <c r="F33" s="2090"/>
      <c r="G33" s="2094"/>
      <c r="H33" s="1467"/>
      <c r="I33" s="2096"/>
      <c r="J33" s="2055"/>
      <c r="K33" s="1449"/>
      <c r="L33" s="2040"/>
      <c r="M33" s="2040"/>
      <c r="N33" s="1461"/>
      <c r="O33" s="1461"/>
      <c r="P33" s="2099"/>
      <c r="Q33" s="2099"/>
      <c r="R33" s="2099"/>
      <c r="S33" s="2099"/>
      <c r="T33" s="2099"/>
      <c r="U33" s="2099"/>
      <c r="V33" s="2099"/>
      <c r="W33" s="2099"/>
      <c r="X33" s="2099"/>
      <c r="Y33" s="2099"/>
      <c r="Z33" s="2099"/>
      <c r="AA33" s="2099"/>
      <c r="AB33" s="2099"/>
      <c r="AC33" s="2099"/>
      <c r="AD33" s="2099"/>
      <c r="AE33" s="2099"/>
      <c r="AF33" s="2099"/>
      <c r="AG33" s="2099"/>
      <c r="AH33" s="2099"/>
      <c r="AI33" s="2100"/>
      <c r="AJ33" s="1441"/>
    </row>
    <row r="34" spans="4:64" s="1642" customFormat="1" ht="11.25" customHeight="1">
      <c r="D34" s="2089"/>
      <c r="E34" s="2091"/>
      <c r="F34" s="2092"/>
      <c r="G34" s="2036"/>
      <c r="H34" s="1464"/>
      <c r="I34" s="1468"/>
      <c r="J34" s="2097"/>
      <c r="K34" s="2097"/>
      <c r="L34" s="2097"/>
      <c r="M34" s="2097"/>
      <c r="N34" s="2097"/>
      <c r="O34" s="2097"/>
      <c r="P34" s="2097"/>
      <c r="Q34" s="2097"/>
      <c r="R34" s="2097"/>
      <c r="S34" s="2097"/>
      <c r="T34" s="2097"/>
      <c r="U34" s="2097"/>
      <c r="V34" s="2097"/>
      <c r="W34" s="2097"/>
      <c r="X34" s="2097"/>
      <c r="Y34" s="2097"/>
      <c r="Z34" s="2097"/>
      <c r="AA34" s="2097"/>
      <c r="AB34" s="2097"/>
      <c r="AC34" s="2097"/>
      <c r="AD34" s="2097"/>
      <c r="AE34" s="2097"/>
      <c r="AF34" s="2097"/>
      <c r="AG34" s="2097"/>
      <c r="AH34" s="2097"/>
      <c r="AI34" s="2098"/>
      <c r="AJ34" s="1441"/>
      <c r="AK34" s="225"/>
      <c r="AL34" s="1441"/>
      <c r="AM34" s="1441"/>
      <c r="AN34" s="1441"/>
      <c r="AO34" s="1441"/>
      <c r="AP34" s="1441"/>
      <c r="AQ34" s="1441"/>
      <c r="AR34" s="1441"/>
      <c r="AS34" s="1441"/>
      <c r="AT34" s="1441"/>
      <c r="AU34" s="1441"/>
      <c r="AV34" s="1441"/>
      <c r="AW34" s="1441"/>
      <c r="AX34" s="1441"/>
      <c r="AY34" s="1441"/>
      <c r="AZ34" s="1441"/>
      <c r="BA34" s="1441"/>
      <c r="BB34" s="1441"/>
      <c r="BC34" s="1441"/>
      <c r="BD34" s="1441"/>
      <c r="BE34" s="1441"/>
      <c r="BF34" s="1441"/>
      <c r="BG34" s="1441"/>
      <c r="BH34" s="1441"/>
      <c r="BI34" s="1441"/>
      <c r="BJ34" s="1441"/>
      <c r="BK34" s="1441"/>
      <c r="BL34" s="1441"/>
    </row>
    <row r="35" spans="4:64" ht="14.25" customHeight="1">
      <c r="D35" s="2088" t="s">
        <v>111</v>
      </c>
      <c r="E35" s="2090" t="s">
        <v>285</v>
      </c>
      <c r="F35" s="2090" t="s">
        <v>290</v>
      </c>
      <c r="G35" s="2093" t="s">
        <v>56</v>
      </c>
      <c r="H35" s="1465"/>
      <c r="I35" s="2095"/>
      <c r="J35" s="2054"/>
      <c r="K35" s="1376"/>
      <c r="L35" s="2039"/>
      <c r="M35" s="2039"/>
      <c r="N35" s="1450"/>
      <c r="O35" s="2039"/>
      <c r="P35" s="2054"/>
      <c r="Q35" s="1451"/>
      <c r="R35" s="2039"/>
      <c r="S35" s="2039"/>
      <c r="T35" s="1452"/>
      <c r="U35" s="2039"/>
      <c r="V35" s="2054"/>
      <c r="W35" s="1453"/>
      <c r="X35" s="2039"/>
      <c r="Y35" s="2039"/>
      <c r="Z35" s="1450"/>
      <c r="AA35" s="2039"/>
      <c r="AB35" s="2054"/>
      <c r="AC35" s="1454"/>
      <c r="AD35" s="2039"/>
      <c r="AE35" s="2039"/>
      <c r="AF35" s="1375"/>
      <c r="AG35" s="1375"/>
      <c r="AH35" s="1455"/>
      <c r="AI35" s="1181"/>
      <c r="AJ35" s="1441"/>
    </row>
    <row r="36" spans="4:64" ht="14.25" customHeight="1">
      <c r="D36" s="2088"/>
      <c r="E36" s="2090"/>
      <c r="F36" s="2090"/>
      <c r="G36" s="2094"/>
      <c r="H36" s="1466"/>
      <c r="I36" s="2096"/>
      <c r="J36" s="2055"/>
      <c r="K36" s="1449"/>
      <c r="L36" s="2040"/>
      <c r="M36" s="2040"/>
      <c r="N36" s="1456"/>
      <c r="O36" s="2040"/>
      <c r="P36" s="2055"/>
      <c r="Q36" s="1457"/>
      <c r="R36" s="2040"/>
      <c r="S36" s="2040"/>
      <c r="T36" s="1458"/>
      <c r="U36" s="2040"/>
      <c r="V36" s="2055"/>
      <c r="W36" s="1459"/>
      <c r="X36" s="2040"/>
      <c r="Y36" s="2040"/>
      <c r="Z36" s="1456"/>
      <c r="AA36" s="2040"/>
      <c r="AB36" s="2055"/>
      <c r="AC36" s="1460"/>
      <c r="AD36" s="2040"/>
      <c r="AE36" s="2040"/>
      <c r="AF36" s="1461"/>
      <c r="AG36" s="1461"/>
      <c r="AH36" s="2099"/>
      <c r="AI36" s="2100"/>
      <c r="AJ36" s="1441"/>
    </row>
    <row r="37" spans="4:64" ht="14.25" customHeight="1">
      <c r="D37" s="2088"/>
      <c r="E37" s="2090"/>
      <c r="F37" s="2090"/>
      <c r="G37" s="2094"/>
      <c r="H37" s="1466"/>
      <c r="I37" s="2096"/>
      <c r="J37" s="2055"/>
      <c r="K37" s="1449"/>
      <c r="L37" s="2040"/>
      <c r="M37" s="2040"/>
      <c r="N37" s="1456"/>
      <c r="O37" s="2040"/>
      <c r="P37" s="2055"/>
      <c r="Q37" s="1457"/>
      <c r="R37" s="2040"/>
      <c r="S37" s="2040"/>
      <c r="T37" s="1458"/>
      <c r="U37" s="2040"/>
      <c r="V37" s="2055"/>
      <c r="W37" s="1459"/>
      <c r="X37" s="2040"/>
      <c r="Y37" s="2040"/>
      <c r="Z37" s="1374"/>
      <c r="AA37" s="1461"/>
      <c r="AB37" s="2099"/>
      <c r="AC37" s="2099"/>
      <c r="AD37" s="2099"/>
      <c r="AE37" s="2099"/>
      <c r="AF37" s="2099"/>
      <c r="AG37" s="2099"/>
      <c r="AH37" s="2099"/>
      <c r="AI37" s="2100"/>
      <c r="AJ37" s="1441"/>
    </row>
    <row r="38" spans="4:64" ht="14.25" customHeight="1">
      <c r="D38" s="2088"/>
      <c r="E38" s="2090"/>
      <c r="F38" s="2090"/>
      <c r="G38" s="2094"/>
      <c r="H38" s="1466"/>
      <c r="I38" s="2096"/>
      <c r="J38" s="2055"/>
      <c r="K38" s="1449"/>
      <c r="L38" s="2040"/>
      <c r="M38" s="2040"/>
      <c r="N38" s="1456"/>
      <c r="O38" s="2040"/>
      <c r="P38" s="2055"/>
      <c r="Q38" s="1457"/>
      <c r="R38" s="2040"/>
      <c r="S38" s="2040"/>
      <c r="T38" s="1462"/>
      <c r="U38" s="1463"/>
      <c r="V38" s="2099"/>
      <c r="W38" s="2099"/>
      <c r="X38" s="2099"/>
      <c r="Y38" s="2099"/>
      <c r="Z38" s="2099"/>
      <c r="AA38" s="2099"/>
      <c r="AB38" s="2099"/>
      <c r="AC38" s="2099"/>
      <c r="AD38" s="2099"/>
      <c r="AE38" s="2099"/>
      <c r="AF38" s="2099"/>
      <c r="AG38" s="2099"/>
      <c r="AH38" s="2099"/>
      <c r="AI38" s="2100"/>
      <c r="AJ38" s="1441"/>
    </row>
    <row r="39" spans="4:64" ht="11.25" customHeight="1">
      <c r="D39" s="2088"/>
      <c r="E39" s="2090"/>
      <c r="F39" s="2090"/>
      <c r="G39" s="2094"/>
      <c r="H39" s="1467"/>
      <c r="I39" s="2096"/>
      <c r="J39" s="2055"/>
      <c r="K39" s="1449"/>
      <c r="L39" s="2040"/>
      <c r="M39" s="2040"/>
      <c r="N39" s="1461"/>
      <c r="O39" s="1461"/>
      <c r="P39" s="2099"/>
      <c r="Q39" s="2099"/>
      <c r="R39" s="2099"/>
      <c r="S39" s="2099"/>
      <c r="T39" s="2099"/>
      <c r="U39" s="2099"/>
      <c r="V39" s="2099"/>
      <c r="W39" s="2099"/>
      <c r="X39" s="2099"/>
      <c r="Y39" s="2099"/>
      <c r="Z39" s="2099"/>
      <c r="AA39" s="2099"/>
      <c r="AB39" s="2099"/>
      <c r="AC39" s="2099"/>
      <c r="AD39" s="2099"/>
      <c r="AE39" s="2099"/>
      <c r="AF39" s="2099"/>
      <c r="AG39" s="2099"/>
      <c r="AH39" s="2099"/>
      <c r="AI39" s="2100"/>
      <c r="AJ39" s="1441"/>
    </row>
    <row r="40" spans="4:64" s="1642" customFormat="1" ht="11.25" customHeight="1">
      <c r="D40" s="2088"/>
      <c r="E40" s="2090"/>
      <c r="F40" s="2101"/>
      <c r="G40" s="2036"/>
      <c r="H40" s="1464"/>
      <c r="I40" s="1468"/>
      <c r="J40" s="2097"/>
      <c r="K40" s="2097"/>
      <c r="L40" s="2097"/>
      <c r="M40" s="2097"/>
      <c r="N40" s="2097"/>
      <c r="O40" s="2097"/>
      <c r="P40" s="2097"/>
      <c r="Q40" s="2097"/>
      <c r="R40" s="2097"/>
      <c r="S40" s="2097"/>
      <c r="T40" s="2097"/>
      <c r="U40" s="2097"/>
      <c r="V40" s="2097"/>
      <c r="W40" s="2097"/>
      <c r="X40" s="2097"/>
      <c r="Y40" s="2097"/>
      <c r="Z40" s="2097"/>
      <c r="AA40" s="2097"/>
      <c r="AB40" s="2097"/>
      <c r="AC40" s="2097"/>
      <c r="AD40" s="2097"/>
      <c r="AE40" s="2097"/>
      <c r="AF40" s="2097"/>
      <c r="AG40" s="2097"/>
      <c r="AH40" s="2097"/>
      <c r="AI40" s="2098"/>
      <c r="AJ40" s="1441"/>
      <c r="AK40" s="225"/>
      <c r="AL40" s="1441"/>
      <c r="AM40" s="1441"/>
      <c r="AN40" s="1441"/>
      <c r="AO40" s="1441"/>
      <c r="AP40" s="1441"/>
      <c r="AQ40" s="1441"/>
      <c r="AR40" s="1441"/>
      <c r="AS40" s="1441"/>
      <c r="AT40" s="1441"/>
      <c r="AU40" s="1441"/>
      <c r="AV40" s="1441"/>
      <c r="AW40" s="1441"/>
      <c r="AX40" s="1441"/>
      <c r="AY40" s="1441"/>
      <c r="AZ40" s="1441"/>
      <c r="BA40" s="1441"/>
      <c r="BB40" s="1441"/>
      <c r="BC40" s="1441"/>
      <c r="BD40" s="1441"/>
      <c r="BE40" s="1441"/>
      <c r="BF40" s="1441"/>
      <c r="BG40" s="1441"/>
      <c r="BH40" s="1441"/>
      <c r="BI40" s="1441"/>
      <c r="BJ40" s="1441"/>
      <c r="BK40" s="1441"/>
      <c r="BL40" s="1441"/>
    </row>
    <row r="41" spans="4:64" ht="11.25" customHeight="1">
      <c r="AK41" s="357"/>
    </row>
    <row r="42" spans="4:64" ht="11.25" customHeight="1">
      <c r="AK42" s="357"/>
    </row>
    <row r="43" spans="4:64" ht="11.25" customHeight="1">
      <c r="AK43" s="357"/>
    </row>
    <row r="44" spans="4:64" ht="11.25" customHeight="1">
      <c r="AK44" s="357"/>
    </row>
    <row r="45" spans="4:64" ht="11.25" customHeight="1">
      <c r="AK45" s="357"/>
    </row>
    <row r="46" spans="4:64" ht="11.25" customHeight="1">
      <c r="AK46" s="357"/>
    </row>
    <row r="47" spans="4:64" ht="11.25" customHeight="1">
      <c r="AK47" s="357"/>
    </row>
    <row r="48" spans="4:64" ht="11.25" customHeight="1">
      <c r="AK48" s="357"/>
    </row>
    <row r="49" spans="37:37" ht="11.25" customHeight="1">
      <c r="AK49" s="357"/>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L15"/>
  <sheetViews>
    <sheetView showGridLines="0" topLeftCell="C4" zoomScale="90" workbookViewId="0"/>
  </sheetViews>
  <sheetFormatPr defaultColWidth="9.140625" defaultRowHeight="14.25" customHeight="1"/>
  <cols>
    <col min="1" max="1" width="9.140625" style="1742" hidden="1"/>
    <col min="2" max="2" width="9.140625" style="1814" hidden="1"/>
    <col min="3" max="3" width="3.7109375" style="1743" customWidth="1"/>
    <col min="4" max="4" width="7" style="1814" customWidth="1"/>
    <col min="5" max="5" width="23.140625" style="1814" customWidth="1"/>
    <col min="6" max="6" width="16" style="1814" customWidth="1"/>
    <col min="7" max="7" width="14.85546875" style="1814" customWidth="1"/>
    <col min="8" max="8" width="47.85546875" style="1814" customWidth="1"/>
    <col min="9" max="9" width="115.7109375" style="1814" customWidth="1"/>
    <col min="10" max="10" width="3.7109375" style="1814" customWidth="1"/>
    <col min="11" max="12" width="9.140625" style="1814"/>
  </cols>
  <sheetData>
    <row r="1" spans="1:12" ht="14.25" hidden="1" customHeight="1"/>
    <row r="2" spans="1:12" ht="14.25" hidden="1" customHeight="1"/>
    <row r="3" spans="1:12" ht="14.25" hidden="1" customHeight="1"/>
    <row r="4" spans="1:12" ht="3" customHeight="1"/>
    <row r="5" spans="1:12" s="1846" customFormat="1" ht="30" customHeight="1">
      <c r="A5" s="49"/>
      <c r="C5" s="28"/>
      <c r="D5" s="2007" t="s">
        <v>2125</v>
      </c>
      <c r="E5" s="2007"/>
      <c r="F5" s="2007"/>
      <c r="G5" s="2007"/>
      <c r="H5" s="2007"/>
      <c r="I5" s="183"/>
    </row>
    <row r="6" spans="1:12" ht="3" hidden="1" customHeight="1">
      <c r="D6" s="53"/>
      <c r="E6" s="53"/>
      <c r="F6" s="53"/>
      <c r="G6" s="53"/>
      <c r="H6" s="53"/>
      <c r="I6" s="53"/>
    </row>
    <row r="7" spans="1:12" s="1742" customFormat="1" ht="14.25" customHeight="1">
      <c r="B7" s="50"/>
      <c r="C7" s="51"/>
      <c r="D7" s="54"/>
      <c r="E7" s="54"/>
      <c r="F7" s="54"/>
      <c r="G7" s="54"/>
      <c r="H7" s="665"/>
      <c r="I7" s="54"/>
      <c r="J7" s="55"/>
    </row>
    <row r="8" spans="1:12" ht="14.25" customHeight="1">
      <c r="D8" s="2111" t="s">
        <v>292</v>
      </c>
      <c r="E8" s="2111"/>
      <c r="F8" s="2111"/>
      <c r="G8" s="2111"/>
      <c r="H8" s="2111"/>
      <c r="I8" s="2111" t="s">
        <v>293</v>
      </c>
    </row>
    <row r="9" spans="1:12" ht="27.75" customHeight="1">
      <c r="D9" s="2111" t="s">
        <v>88</v>
      </c>
      <c r="E9" s="2111" t="s">
        <v>2126</v>
      </c>
      <c r="F9" s="2111"/>
      <c r="G9" s="2111"/>
      <c r="H9" s="2111"/>
      <c r="I9" s="2111"/>
    </row>
    <row r="10" spans="1:12" ht="22.5" customHeight="1">
      <c r="D10" s="2111"/>
      <c r="E10" s="58" t="s">
        <v>2127</v>
      </c>
      <c r="F10" s="58" t="s">
        <v>2128</v>
      </c>
      <c r="G10" s="58" t="s">
        <v>2129</v>
      </c>
      <c r="H10" s="58" t="s">
        <v>384</v>
      </c>
      <c r="I10" s="2111"/>
    </row>
    <row r="11" spans="1:12" ht="12" hidden="1" customHeight="1">
      <c r="D11" s="26" t="s">
        <v>109</v>
      </c>
      <c r="E11" s="26" t="s">
        <v>91</v>
      </c>
      <c r="F11" s="26" t="s">
        <v>111</v>
      </c>
      <c r="G11" s="26" t="s">
        <v>92</v>
      </c>
      <c r="H11" s="26" t="s">
        <v>93</v>
      </c>
      <c r="I11" s="26" t="s">
        <v>112</v>
      </c>
    </row>
    <row r="12" spans="1:12" s="1814" customFormat="1" ht="24.75" customHeight="1">
      <c r="A12" s="74" t="s">
        <v>90</v>
      </c>
      <c r="B12" s="56" t="s">
        <v>17</v>
      </c>
      <c r="C12" s="57"/>
      <c r="D12" s="59" t="s">
        <v>109</v>
      </c>
      <c r="E12" s="313"/>
      <c r="F12" s="313"/>
      <c r="G12" s="1593" t="s">
        <v>17</v>
      </c>
      <c r="H12" s="314"/>
      <c r="I12" s="2067" t="s">
        <v>2130</v>
      </c>
      <c r="K12" s="190"/>
      <c r="L12" s="191"/>
    </row>
    <row r="13" spans="1:12" ht="15" customHeight="1">
      <c r="A13" s="52"/>
      <c r="B13" s="52"/>
      <c r="C13" s="52"/>
      <c r="D13" s="45"/>
      <c r="E13" s="61" t="s">
        <v>1541</v>
      </c>
      <c r="F13" s="60"/>
      <c r="G13" s="60"/>
      <c r="H13" s="136"/>
      <c r="I13" s="2069"/>
    </row>
    <row r="14" spans="1:12" ht="3" customHeight="1">
      <c r="A14" s="52"/>
      <c r="B14" s="52"/>
      <c r="C14" s="52"/>
    </row>
    <row r="15" spans="1:12" ht="27.75" customHeight="1">
      <c r="E15" s="2405" t="s">
        <v>2131</v>
      </c>
      <c r="F15" s="2405"/>
      <c r="G15" s="2405"/>
      <c r="H15" s="2405"/>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67" fitToHeight="0" orientation="landscape"/>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I15"/>
  <sheetViews>
    <sheetView showGridLines="0" topLeftCell="C6" zoomScale="90" workbookViewId="0"/>
  </sheetViews>
  <sheetFormatPr defaultColWidth="9.140625" defaultRowHeight="14.25" customHeight="1"/>
  <cols>
    <col min="1" max="2" width="9.140625" style="1749" hidden="1"/>
    <col min="3" max="3" width="3.7109375" style="1745" customWidth="1"/>
    <col min="4" max="4" width="6.28515625" style="1749" customWidth="1"/>
    <col min="5" max="5" width="94.85546875" style="1749" customWidth="1"/>
    <col min="6" max="9" width="9.140625" style="1749"/>
  </cols>
  <sheetData>
    <row r="1" spans="3:9" ht="14.25" hidden="1" customHeight="1"/>
    <row r="2" spans="3:9" ht="14.25" hidden="1" customHeight="1"/>
    <row r="3" spans="3:9" ht="14.25" hidden="1" customHeight="1"/>
    <row r="4" spans="3:9" ht="14.25" hidden="1" customHeight="1"/>
    <row r="5" spans="3:9" ht="14.25" hidden="1" customHeight="1"/>
    <row r="6" spans="3:9" ht="3" customHeight="1">
      <c r="C6" s="30"/>
      <c r="D6" s="10"/>
      <c r="E6" s="10"/>
    </row>
    <row r="7" spans="3:9" ht="22.5" customHeight="1">
      <c r="C7" s="30"/>
      <c r="D7" s="2406" t="s">
        <v>2132</v>
      </c>
      <c r="E7" s="2407"/>
      <c r="F7" s="185"/>
    </row>
    <row r="8" spans="3:9" ht="3" customHeight="1">
      <c r="C8" s="30"/>
      <c r="D8" s="10"/>
      <c r="E8" s="10"/>
    </row>
    <row r="9" spans="3:9" ht="15.75" customHeight="1">
      <c r="C9" s="30"/>
      <c r="D9" s="41" t="s">
        <v>88</v>
      </c>
      <c r="E9" s="178" t="s">
        <v>2133</v>
      </c>
    </row>
    <row r="10" spans="3:9" ht="12" customHeight="1">
      <c r="C10" s="30"/>
      <c r="D10" s="26" t="s">
        <v>109</v>
      </c>
      <c r="E10" s="26" t="s">
        <v>110</v>
      </c>
    </row>
    <row r="11" spans="3:9" ht="11.25" hidden="1" customHeight="1">
      <c r="C11" s="30"/>
      <c r="D11" s="79">
        <v>0</v>
      </c>
      <c r="E11" s="179"/>
    </row>
    <row r="12" spans="3:9" ht="15" customHeight="1">
      <c r="C12" s="67"/>
      <c r="D12" s="48">
        <v>1</v>
      </c>
      <c r="E12" s="307"/>
    </row>
    <row r="13" spans="3:9" ht="12" customHeight="1">
      <c r="C13" s="30"/>
      <c r="D13" s="180"/>
      <c r="E13" s="181" t="s">
        <v>2134</v>
      </c>
    </row>
    <row r="14" spans="3:9" ht="3" customHeight="1"/>
    <row r="15" spans="3:9" ht="22.5" customHeight="1">
      <c r="C15" s="68"/>
      <c r="D15" s="2405" t="s">
        <v>2135</v>
      </c>
      <c r="E15" s="2405"/>
      <c r="F15" s="69"/>
      <c r="G15" s="69"/>
      <c r="H15" s="69"/>
      <c r="I15" s="69"/>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4"/>
  <sheetViews>
    <sheetView showGridLines="0" topLeftCell="C4" zoomScale="90" workbookViewId="0"/>
  </sheetViews>
  <sheetFormatPr defaultColWidth="9.140625" defaultRowHeight="11.25" customHeight="1"/>
  <cols>
    <col min="1" max="2" width="15" style="1644" hidden="1" customWidth="1"/>
    <col min="3" max="3" width="3.7109375" style="1649" customWidth="1"/>
    <col min="4" max="4" width="6.85546875" style="1650" customWidth="1"/>
    <col min="5" max="5" width="52.28515625" style="1649" customWidth="1"/>
    <col min="6" max="6" width="48.85546875" style="1649" customWidth="1"/>
    <col min="7" max="7" width="93.42578125" style="1649" customWidth="1"/>
    <col min="8" max="8" width="9.140625" style="1649"/>
    <col min="9" max="9" width="65" style="1649" customWidth="1"/>
  </cols>
  <sheetData>
    <row r="1" spans="1:9" ht="11.25" hidden="1" customHeight="1">
      <c r="A1" s="429" t="s">
        <v>291</v>
      </c>
    </row>
    <row r="2" spans="1:9" ht="22.5" hidden="1" customHeight="1">
      <c r="A2" s="430"/>
      <c r="B2" s="430"/>
      <c r="C2" s="387"/>
      <c r="D2" s="1385"/>
      <c r="E2" s="1391"/>
      <c r="F2" s="1419"/>
      <c r="H2" s="404"/>
    </row>
    <row r="3" spans="1:9" ht="11.25" hidden="1" customHeight="1"/>
    <row r="4" spans="1:9" ht="11.25" customHeight="1">
      <c r="A4" s="1420"/>
      <c r="B4" s="1420"/>
    </row>
    <row r="5" spans="1:9" ht="36.75" customHeight="1">
      <c r="D5" s="2014" t="str">
        <f>"Форма 1. Информация об органе регулирования тарифов в сфере "&amp;IF(TEMPLATE_SPHERE="HEAT","теплоснабжения","водоснабжения и водоотведения")&amp;" (далее – орган регулирования тарифов)"</f>
        <v>Форма 1. Информация об органе регулирования тарифов в сфере теплоснабжения (далее – орган регулирования тарифов)</v>
      </c>
      <c r="E5" s="2015"/>
      <c r="F5" s="2016"/>
      <c r="I5" s="629"/>
    </row>
    <row r="6" spans="1:9" ht="17.25" customHeight="1">
      <c r="D6" s="2113" t="str">
        <f>IF(region_name=0,"Не определено",region_name)</f>
        <v>Нижегородская область</v>
      </c>
      <c r="E6" s="2113"/>
      <c r="F6" s="2113"/>
      <c r="I6" s="629"/>
    </row>
    <row r="7" spans="1:9" s="1643" customFormat="1" ht="11.25" customHeight="1">
      <c r="A7" s="429"/>
      <c r="B7" s="429"/>
      <c r="D7" s="628"/>
      <c r="E7" s="628"/>
      <c r="F7" s="665"/>
      <c r="G7" s="628"/>
    </row>
    <row r="8" spans="1:9" ht="11.25" hidden="1" customHeight="1">
      <c r="A8" s="430"/>
      <c r="B8" s="430"/>
      <c r="C8" s="387"/>
      <c r="D8" s="392"/>
      <c r="E8" s="2109"/>
      <c r="F8" s="2109"/>
    </row>
    <row r="9" spans="1:9" ht="11.25" customHeight="1">
      <c r="A9" s="430"/>
      <c r="B9" s="430"/>
      <c r="C9" s="387"/>
      <c r="D9" s="2105" t="s">
        <v>292</v>
      </c>
      <c r="E9" s="2106"/>
      <c r="F9" s="2106"/>
      <c r="G9" s="2110" t="s">
        <v>293</v>
      </c>
    </row>
    <row r="10" spans="1:9" ht="11.25" customHeight="1">
      <c r="A10" s="430"/>
      <c r="B10" s="430"/>
      <c r="C10" s="387"/>
      <c r="D10" s="1336" t="s">
        <v>88</v>
      </c>
      <c r="E10" s="1338" t="s">
        <v>294</v>
      </c>
      <c r="F10" s="1338" t="s">
        <v>295</v>
      </c>
      <c r="G10" s="2111"/>
    </row>
    <row r="11" spans="1:9" ht="12" customHeight="1">
      <c r="A11" s="430"/>
      <c r="B11" s="430"/>
      <c r="C11" s="387"/>
      <c r="D11" s="393"/>
      <c r="E11" s="393"/>
      <c r="F11" s="393"/>
      <c r="G11" s="393"/>
    </row>
    <row r="12" spans="1:9" ht="22.5" customHeight="1">
      <c r="A12" s="430"/>
      <c r="B12" s="430"/>
      <c r="C12" s="387"/>
      <c r="D12" s="1385">
        <v>1</v>
      </c>
      <c r="E12" s="403" t="s">
        <v>2136</v>
      </c>
      <c r="F12" s="1391"/>
      <c r="G12" s="403" t="s">
        <v>2137</v>
      </c>
      <c r="H12" s="1397"/>
    </row>
    <row r="13" spans="1:9" ht="18.75" customHeight="1">
      <c r="A13" s="430"/>
      <c r="B13" s="430"/>
      <c r="C13" s="387"/>
      <c r="D13" s="1385">
        <v>2</v>
      </c>
      <c r="E13" s="1392" t="s">
        <v>2138</v>
      </c>
      <c r="F13" s="1386" t="s">
        <v>298</v>
      </c>
      <c r="G13" s="403"/>
      <c r="H13" s="1397"/>
    </row>
    <row r="14" spans="1:9" ht="18.75" customHeight="1">
      <c r="A14" s="430"/>
      <c r="B14" s="430"/>
      <c r="C14" s="387"/>
      <c r="D14" s="1388" t="s">
        <v>505</v>
      </c>
      <c r="E14" s="1389" t="s">
        <v>2139</v>
      </c>
      <c r="F14" s="1391"/>
      <c r="G14" s="1390" t="s">
        <v>2140</v>
      </c>
      <c r="H14" s="1397"/>
    </row>
    <row r="15" spans="1:9" ht="18.75" customHeight="1">
      <c r="A15" s="430"/>
      <c r="B15" s="430"/>
      <c r="C15" s="387"/>
      <c r="D15" s="1388" t="s">
        <v>299</v>
      </c>
      <c r="E15" s="1389" t="s">
        <v>2141</v>
      </c>
      <c r="F15" s="1391"/>
      <c r="G15" s="1390" t="s">
        <v>2142</v>
      </c>
      <c r="H15" s="1397"/>
    </row>
    <row r="16" spans="1:9" ht="36.75" customHeight="1">
      <c r="A16" s="430"/>
      <c r="B16" s="430"/>
      <c r="C16" s="387"/>
      <c r="D16" s="1388" t="s">
        <v>302</v>
      </c>
      <c r="E16" s="1387" t="s">
        <v>2143</v>
      </c>
      <c r="F16" s="1395"/>
      <c r="G16" s="403" t="s">
        <v>2144</v>
      </c>
      <c r="H16" s="1397"/>
    </row>
    <row r="17" spans="1:9" ht="45" customHeight="1">
      <c r="A17" s="430"/>
      <c r="B17" s="430"/>
      <c r="C17" s="387"/>
      <c r="D17" s="1385">
        <v>3</v>
      </c>
      <c r="E17" s="1392" t="s">
        <v>2145</v>
      </c>
      <c r="F17" s="1391"/>
      <c r="G17" s="403" t="s">
        <v>2146</v>
      </c>
      <c r="H17" s="1397"/>
    </row>
    <row r="18" spans="1:9" ht="45" customHeight="1">
      <c r="A18" s="1337">
        <v>1</v>
      </c>
      <c r="B18" s="430"/>
      <c r="C18" s="1339"/>
      <c r="D18" s="1385" t="s">
        <v>91</v>
      </c>
      <c r="E18" s="1392" t="s">
        <v>2147</v>
      </c>
      <c r="F18" s="1391"/>
      <c r="G18" s="403" t="s">
        <v>2146</v>
      </c>
      <c r="H18" s="1397"/>
      <c r="I18" s="754"/>
    </row>
    <row r="19" spans="1:9" ht="22.5" customHeight="1">
      <c r="A19" s="430"/>
      <c r="B19" s="430"/>
      <c r="C19" s="387"/>
      <c r="D19" s="1385" t="s">
        <v>111</v>
      </c>
      <c r="E19" s="1392" t="s">
        <v>2148</v>
      </c>
      <c r="F19" s="1386" t="s">
        <v>298</v>
      </c>
      <c r="G19" s="2408" t="s">
        <v>2149</v>
      </c>
      <c r="H19" s="404"/>
    </row>
    <row r="20" spans="1:9" s="1746" customFormat="1" ht="5.25" hidden="1" customHeight="1">
      <c r="A20" s="430"/>
      <c r="B20" s="430"/>
      <c r="C20" s="1394"/>
      <c r="D20" s="1393" t="s">
        <v>1624</v>
      </c>
      <c r="E20" s="906"/>
      <c r="F20" s="905"/>
      <c r="G20" s="2409"/>
    </row>
    <row r="21" spans="1:9" ht="15" customHeight="1">
      <c r="A21" s="430"/>
      <c r="B21" s="430"/>
      <c r="C21" s="387"/>
      <c r="D21" s="396"/>
      <c r="E21" s="350" t="s">
        <v>333</v>
      </c>
      <c r="F21" s="398"/>
      <c r="G21" s="2410"/>
      <c r="H21" s="1397"/>
    </row>
    <row r="22" spans="1:9" s="1644" customFormat="1" ht="24.75" customHeight="1">
      <c r="A22" s="430"/>
      <c r="B22" s="430"/>
      <c r="C22" s="430"/>
      <c r="D22" s="1385" t="s">
        <v>92</v>
      </c>
      <c r="E22" s="403" t="s">
        <v>2150</v>
      </c>
      <c r="F22" s="1391"/>
      <c r="G22" s="403" t="s">
        <v>2151</v>
      </c>
      <c r="H22" s="1396"/>
    </row>
    <row r="23" spans="1:9" s="1644" customFormat="1" ht="18.75" customHeight="1">
      <c r="A23" s="430"/>
      <c r="B23" s="430"/>
      <c r="C23" s="430"/>
      <c r="D23" s="1385" t="s">
        <v>93</v>
      </c>
      <c r="E23" s="1392" t="s">
        <v>2152</v>
      </c>
      <c r="F23" s="1395"/>
      <c r="G23" s="403" t="s">
        <v>2153</v>
      </c>
      <c r="H23" s="1396"/>
    </row>
    <row r="24" spans="1:9" ht="11.25" customHeight="1">
      <c r="A24" s="430"/>
      <c r="B24" s="430"/>
      <c r="C24" s="387"/>
    </row>
  </sheetData>
  <sheetProtection formatColumns="0" formatRows="0" insertRows="0" deleteColumns="0" deleteRows="0" sort="0" autoFilter="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T23"/>
  <sheetViews>
    <sheetView showGridLines="0" topLeftCell="D4" zoomScale="90" workbookViewId="0"/>
  </sheetViews>
  <sheetFormatPr defaultColWidth="9.140625" defaultRowHeight="14.25" customHeight="1"/>
  <cols>
    <col min="1" max="1" width="9.140625" style="1846" hidden="1"/>
    <col min="2" max="2" width="9.140625" style="1759" hidden="1"/>
    <col min="3" max="3" width="3.7109375" style="1846" hidden="1" customWidth="1"/>
    <col min="4" max="4" width="3.85546875" style="1760" customWidth="1"/>
    <col min="5" max="5" width="6.28515625" style="1846" customWidth="1"/>
    <col min="6" max="6" width="46.7109375" style="1846" customWidth="1"/>
    <col min="7" max="8" width="16.7109375" style="1846" customWidth="1"/>
    <col min="9" max="9" width="35.28515625" style="1846" customWidth="1"/>
    <col min="10" max="10" width="89.5703125" style="1846" customWidth="1"/>
    <col min="11" max="11" width="3.7109375" style="1765" customWidth="1"/>
    <col min="12" max="14" width="9.140625" style="1765"/>
    <col min="15" max="15" width="25.7109375" style="1765" customWidth="1"/>
    <col min="16" max="16" width="14.42578125" style="1765" customWidth="1"/>
    <col min="17" max="20" width="9.140625" style="1766"/>
    <col min="21" max="254" width="9.140625" style="1846"/>
  </cols>
  <sheetData>
    <row r="1" spans="1:254" ht="14.25" hidden="1" customHeight="1"/>
    <row r="2" spans="1:254" s="1753" customFormat="1" ht="22.5" hidden="1" customHeight="1">
      <c r="A2" s="737"/>
      <c r="B2" s="1036">
        <v>1</v>
      </c>
      <c r="C2" s="1036"/>
      <c r="D2" s="708"/>
      <c r="E2" s="1346"/>
      <c r="F2" s="1353"/>
      <c r="G2" s="1353"/>
      <c r="H2" s="1353"/>
      <c r="I2" s="1402"/>
      <c r="J2" s="150"/>
      <c r="K2" s="1399" t="e">
        <f ca="1">MERGEVALUE(F2)</f>
        <v>#NAME?</v>
      </c>
      <c r="L2" s="439"/>
      <c r="M2" s="439"/>
      <c r="N2" s="428" t="str">
        <f t="array" ref="N2">IF(ISERROR(MATCH(MID(O2,1,250),MID(note_ter,1,250),0)),"n","y")</f>
        <v>n</v>
      </c>
      <c r="O2" s="439"/>
      <c r="P2" s="428" t="str">
        <f>G2&amp;"("&amp;J2&amp;")"</f>
        <v>()</v>
      </c>
      <c r="Q2" s="1036"/>
      <c r="R2" s="1036"/>
      <c r="S2" s="354"/>
      <c r="T2" s="1036"/>
      <c r="U2" s="1036"/>
      <c r="V2" s="1036"/>
      <c r="W2" s="356"/>
      <c r="X2" s="356"/>
      <c r="Y2" s="353"/>
      <c r="Z2" s="353"/>
      <c r="AA2" s="353"/>
      <c r="AB2" s="353"/>
      <c r="AC2" s="353"/>
      <c r="AD2" s="353"/>
      <c r="AE2" s="353"/>
      <c r="AF2" s="353"/>
      <c r="AG2" s="353"/>
      <c r="AH2" s="353"/>
      <c r="AI2" s="353"/>
      <c r="AJ2" s="353"/>
      <c r="AK2" s="353"/>
      <c r="AL2" s="353"/>
      <c r="AM2" s="353"/>
      <c r="AN2" s="353"/>
      <c r="AO2" s="353"/>
      <c r="AP2" s="353"/>
      <c r="AQ2" s="353"/>
      <c r="AR2" s="353"/>
      <c r="AS2" s="353"/>
      <c r="AT2" s="353"/>
      <c r="AU2" s="353"/>
      <c r="AV2" s="353"/>
      <c r="AW2" s="353"/>
      <c r="AX2" s="353"/>
      <c r="AY2" s="353"/>
      <c r="AZ2" s="353"/>
      <c r="BA2" s="353"/>
      <c r="BB2" s="353"/>
      <c r="BC2" s="353"/>
      <c r="BD2" s="353"/>
      <c r="BE2" s="353"/>
      <c r="BF2" s="353"/>
      <c r="BG2" s="353"/>
      <c r="BH2" s="353"/>
      <c r="BI2" s="353"/>
      <c r="BJ2" s="353"/>
      <c r="BK2" s="353"/>
      <c r="BL2" s="353"/>
      <c r="BM2" s="353"/>
      <c r="BN2" s="353"/>
      <c r="BO2" s="353"/>
      <c r="BP2" s="353"/>
      <c r="BQ2" s="353"/>
      <c r="BR2" s="353"/>
      <c r="BS2" s="353"/>
      <c r="BT2" s="356"/>
      <c r="BU2" s="356"/>
      <c r="BV2" s="356"/>
      <c r="BW2" s="356"/>
      <c r="BX2" s="356"/>
      <c r="BY2" s="356"/>
      <c r="BZ2" s="356"/>
      <c r="CA2" s="356"/>
      <c r="CB2" s="356"/>
      <c r="CC2" s="356"/>
    </row>
    <row r="3" spans="1:254" s="1772" customFormat="1" ht="5.25" hidden="1" customHeight="1">
      <c r="A3" s="424"/>
      <c r="D3" s="422"/>
      <c r="F3" s="166" t="s">
        <v>83</v>
      </c>
      <c r="G3" s="422" t="s">
        <v>84</v>
      </c>
      <c r="H3" s="422"/>
      <c r="I3" s="422"/>
      <c r="J3" s="149" t="s">
        <v>85</v>
      </c>
      <c r="K3" s="166" t="s">
        <v>83</v>
      </c>
      <c r="L3" s="166"/>
      <c r="M3" s="166"/>
      <c r="N3" s="166"/>
      <c r="O3" s="167"/>
      <c r="P3" s="166"/>
      <c r="Q3" s="166"/>
      <c r="R3" s="166"/>
      <c r="S3" s="166"/>
      <c r="T3" s="166"/>
      <c r="U3" s="149"/>
      <c r="V3" s="149"/>
      <c r="W3" s="149"/>
      <c r="X3" s="149"/>
      <c r="Y3" s="149"/>
      <c r="Z3" s="149"/>
      <c r="AA3" s="149"/>
      <c r="AB3" s="149"/>
      <c r="AC3" s="149"/>
      <c r="AD3" s="149"/>
      <c r="AE3" s="149"/>
      <c r="AF3" s="149"/>
      <c r="AG3" s="149"/>
      <c r="AH3" s="149"/>
      <c r="AI3" s="149"/>
      <c r="AJ3" s="149"/>
      <c r="AK3" s="149"/>
      <c r="AL3" s="149"/>
      <c r="AM3" s="149"/>
      <c r="AN3" s="149"/>
      <c r="AO3" s="149"/>
      <c r="AP3" s="149"/>
      <c r="AQ3" s="149"/>
      <c r="AR3" s="149"/>
      <c r="AS3" s="149"/>
      <c r="AT3" s="149"/>
      <c r="AU3" s="149"/>
      <c r="AV3" s="149"/>
      <c r="AW3" s="149"/>
      <c r="AX3" s="149"/>
      <c r="AY3" s="149"/>
      <c r="AZ3" s="149"/>
      <c r="BA3" s="149"/>
      <c r="BB3" s="149"/>
      <c r="BC3" s="149"/>
      <c r="BD3" s="149"/>
      <c r="BE3" s="149"/>
      <c r="BF3" s="149"/>
      <c r="BG3" s="149"/>
      <c r="BH3" s="149"/>
      <c r="BI3" s="149"/>
      <c r="BJ3" s="149"/>
      <c r="BK3" s="149"/>
      <c r="BL3" s="149"/>
      <c r="BM3" s="149"/>
      <c r="BN3" s="149"/>
      <c r="BO3" s="149"/>
      <c r="BP3" s="149"/>
      <c r="BQ3" s="149"/>
      <c r="BR3" s="149"/>
      <c r="BS3" s="149"/>
      <c r="BT3" s="149"/>
      <c r="BU3" s="149"/>
      <c r="BV3" s="149"/>
      <c r="BW3" s="149"/>
      <c r="BX3" s="149"/>
      <c r="BY3" s="149"/>
      <c r="BZ3" s="149"/>
      <c r="CA3" s="149"/>
      <c r="CB3" s="149"/>
      <c r="CC3" s="149"/>
      <c r="CD3" s="149"/>
      <c r="CE3" s="149"/>
      <c r="CF3" s="149"/>
      <c r="CG3" s="149"/>
      <c r="CH3" s="149"/>
      <c r="CI3" s="149"/>
      <c r="CJ3" s="149"/>
      <c r="CK3" s="149"/>
      <c r="CL3" s="149"/>
      <c r="CM3" s="149"/>
      <c r="CN3" s="149"/>
      <c r="CO3" s="149"/>
      <c r="CP3" s="149"/>
      <c r="CQ3" s="149"/>
      <c r="CR3" s="149"/>
      <c r="CS3" s="149"/>
      <c r="CT3" s="149"/>
      <c r="CU3" s="149"/>
      <c r="CV3" s="149"/>
      <c r="CW3" s="149"/>
      <c r="CX3" s="149"/>
      <c r="CY3" s="149"/>
      <c r="CZ3" s="149"/>
      <c r="DA3" s="149"/>
      <c r="DB3" s="149"/>
      <c r="DC3" s="149"/>
      <c r="DD3" s="149"/>
      <c r="DE3" s="149"/>
      <c r="DF3" s="149"/>
      <c r="DG3" s="149"/>
      <c r="DH3" s="149"/>
      <c r="DI3" s="149"/>
      <c r="DJ3" s="149"/>
      <c r="DK3" s="149"/>
      <c r="DL3" s="149"/>
      <c r="DM3" s="149"/>
      <c r="DN3" s="149"/>
      <c r="DO3" s="149"/>
      <c r="DP3" s="149"/>
      <c r="DQ3" s="149"/>
      <c r="DR3" s="149"/>
      <c r="DS3" s="149"/>
      <c r="DT3" s="149"/>
      <c r="DU3" s="149"/>
      <c r="DV3" s="149"/>
      <c r="DW3" s="149"/>
      <c r="DX3" s="149"/>
      <c r="DY3" s="149"/>
      <c r="DZ3" s="149"/>
      <c r="EA3" s="149"/>
      <c r="EB3" s="149"/>
      <c r="EC3" s="149"/>
      <c r="ED3" s="149"/>
      <c r="EE3" s="149"/>
      <c r="EF3" s="149"/>
      <c r="EG3" s="149"/>
      <c r="EH3" s="149"/>
      <c r="EI3" s="149"/>
      <c r="EJ3" s="149"/>
      <c r="EK3" s="149"/>
      <c r="EL3" s="149"/>
      <c r="EM3" s="149"/>
      <c r="EN3" s="149"/>
      <c r="EO3" s="149"/>
      <c r="EP3" s="149"/>
      <c r="EQ3" s="149"/>
      <c r="ER3" s="149"/>
      <c r="ES3" s="149"/>
      <c r="ET3" s="149"/>
      <c r="EU3" s="149"/>
      <c r="EV3" s="149"/>
      <c r="EW3" s="149"/>
      <c r="EX3" s="149"/>
      <c r="EY3" s="149"/>
      <c r="EZ3" s="149"/>
      <c r="FA3" s="149"/>
      <c r="FB3" s="149"/>
      <c r="FC3" s="149"/>
      <c r="FD3" s="149"/>
      <c r="FE3" s="149"/>
      <c r="FF3" s="149"/>
      <c r="FG3" s="149"/>
      <c r="FH3" s="149"/>
      <c r="FI3" s="149"/>
      <c r="FJ3" s="149"/>
      <c r="FK3" s="149"/>
      <c r="FL3" s="149"/>
      <c r="FM3" s="149"/>
      <c r="FN3" s="149"/>
      <c r="FO3" s="149"/>
      <c r="FP3" s="149"/>
      <c r="FQ3" s="149"/>
      <c r="FR3" s="149"/>
      <c r="FS3" s="149"/>
      <c r="FT3" s="149"/>
      <c r="FU3" s="149"/>
      <c r="FV3" s="149"/>
      <c r="FW3" s="149"/>
      <c r="FX3" s="149"/>
      <c r="FY3" s="149"/>
      <c r="FZ3" s="149"/>
      <c r="GA3" s="149"/>
      <c r="GB3" s="149"/>
      <c r="GC3" s="149"/>
      <c r="GD3" s="149"/>
      <c r="GE3" s="149"/>
      <c r="GF3" s="149"/>
      <c r="GG3" s="149"/>
      <c r="GH3" s="149"/>
      <c r="GI3" s="149"/>
      <c r="GJ3" s="149"/>
      <c r="GK3" s="149"/>
      <c r="GL3" s="149"/>
      <c r="GM3" s="149"/>
      <c r="GN3" s="149"/>
      <c r="GO3" s="149"/>
      <c r="GP3" s="149"/>
      <c r="GQ3" s="149"/>
      <c r="GR3" s="149"/>
      <c r="GS3" s="149"/>
      <c r="GT3" s="149"/>
      <c r="GU3" s="149"/>
      <c r="GV3" s="149"/>
      <c r="GW3" s="149"/>
      <c r="GX3" s="149"/>
      <c r="GY3" s="149"/>
      <c r="GZ3" s="149"/>
      <c r="HA3" s="149"/>
      <c r="HB3" s="149"/>
      <c r="HC3" s="149"/>
      <c r="HD3" s="149"/>
      <c r="HE3" s="149"/>
      <c r="HF3" s="149"/>
      <c r="HG3" s="149"/>
      <c r="HH3" s="149"/>
      <c r="HI3" s="149"/>
      <c r="HJ3" s="149"/>
      <c r="HK3" s="149"/>
      <c r="HL3" s="149"/>
      <c r="HM3" s="149"/>
      <c r="HN3" s="149"/>
      <c r="HO3" s="149"/>
      <c r="HP3" s="149"/>
      <c r="HQ3" s="149"/>
      <c r="HR3" s="149"/>
      <c r="HS3" s="149"/>
      <c r="HT3" s="149"/>
      <c r="HU3" s="149"/>
      <c r="HV3" s="149"/>
      <c r="HW3" s="149"/>
      <c r="HX3" s="149"/>
      <c r="HY3" s="149"/>
      <c r="HZ3" s="149"/>
      <c r="IA3" s="149"/>
      <c r="IB3" s="149"/>
      <c r="IC3" s="149"/>
      <c r="ID3" s="149"/>
      <c r="IE3" s="149"/>
      <c r="IF3" s="149"/>
      <c r="IG3" s="149"/>
      <c r="IH3" s="149"/>
      <c r="II3" s="149"/>
      <c r="IJ3" s="149"/>
      <c r="IK3" s="149"/>
      <c r="IL3" s="149"/>
      <c r="IM3" s="149"/>
      <c r="IN3" s="149"/>
      <c r="IO3" s="149"/>
      <c r="IP3" s="149"/>
      <c r="IQ3" s="149"/>
      <c r="IR3" s="149"/>
      <c r="IS3" s="149"/>
      <c r="IT3" s="149"/>
    </row>
    <row r="4" spans="1:254" s="1651" customFormat="1" ht="14.25" customHeight="1">
      <c r="A4" s="1031"/>
      <c r="B4" s="1036"/>
      <c r="C4" s="1031"/>
      <c r="D4" s="1357"/>
      <c r="E4" s="437"/>
      <c r="F4" s="437"/>
      <c r="G4" s="437"/>
      <c r="H4" s="437"/>
      <c r="I4" s="437"/>
      <c r="J4" s="94"/>
      <c r="K4" s="166"/>
      <c r="L4" s="428"/>
      <c r="M4" s="428"/>
      <c r="N4" s="428"/>
      <c r="O4" s="148"/>
      <c r="P4" s="428"/>
      <c r="Q4" s="147"/>
      <c r="R4" s="147"/>
      <c r="S4" s="147"/>
      <c r="T4" s="147"/>
    </row>
    <row r="5" spans="1:254" s="1651" customFormat="1" ht="25.5" customHeight="1">
      <c r="A5" s="1031"/>
      <c r="B5" s="1036"/>
      <c r="C5" s="1031"/>
      <c r="D5" s="1357"/>
      <c r="E5" s="2007"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водоснабжения и водоотведения")</f>
        <v>Форма 2.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007"/>
      <c r="G5" s="2007"/>
      <c r="H5" s="2007"/>
      <c r="I5" s="2007"/>
      <c r="J5" s="2007"/>
      <c r="K5" s="166"/>
      <c r="L5" s="428"/>
      <c r="M5" s="428"/>
      <c r="N5" s="428"/>
      <c r="O5" s="148"/>
      <c r="P5" s="428"/>
      <c r="Q5" s="147"/>
      <c r="R5" s="147"/>
      <c r="S5" s="147"/>
      <c r="T5" s="147"/>
    </row>
    <row r="6" spans="1:254" s="1651" customFormat="1" ht="14.25" customHeight="1">
      <c r="A6" s="1031"/>
      <c r="B6" s="1036"/>
      <c r="C6" s="1031"/>
      <c r="D6" s="1357"/>
      <c r="E6" s="437"/>
      <c r="F6" s="95"/>
      <c r="G6" s="95"/>
      <c r="H6" s="95"/>
      <c r="I6" s="95"/>
      <c r="J6" s="96"/>
      <c r="K6" s="428"/>
      <c r="L6" s="428"/>
      <c r="M6" s="428"/>
      <c r="N6" s="428"/>
      <c r="O6" s="148"/>
      <c r="P6" s="428"/>
      <c r="Q6" s="147"/>
      <c r="R6" s="147"/>
      <c r="S6" s="147"/>
      <c r="T6" s="147"/>
    </row>
    <row r="7" spans="1:254" s="1651" customFormat="1" ht="14.25" customHeight="1">
      <c r="A7" s="1031"/>
      <c r="B7" s="1036"/>
      <c r="C7" s="1031"/>
      <c r="D7" s="1357"/>
      <c r="E7" s="2003" t="s">
        <v>292</v>
      </c>
      <c r="F7" s="2008"/>
      <c r="G7" s="2008"/>
      <c r="H7" s="2008"/>
      <c r="I7" s="2008"/>
      <c r="J7" s="2411" t="s">
        <v>293</v>
      </c>
      <c r="K7" s="428"/>
      <c r="L7" s="428"/>
      <c r="M7" s="428"/>
      <c r="N7" s="428"/>
      <c r="O7" s="148"/>
      <c r="P7" s="428"/>
      <c r="Q7" s="147"/>
      <c r="R7" s="147"/>
      <c r="S7" s="147"/>
      <c r="T7" s="147"/>
    </row>
    <row r="8" spans="1:254" s="1651" customFormat="1" ht="20.25" customHeight="1">
      <c r="A8" s="1031"/>
      <c r="B8" s="1036"/>
      <c r="C8" s="1031"/>
      <c r="D8" s="1357"/>
      <c r="E8" s="1418" t="s">
        <v>88</v>
      </c>
      <c r="F8" s="1404" t="s">
        <v>2154</v>
      </c>
      <c r="G8" s="1404" t="s">
        <v>47</v>
      </c>
      <c r="H8" s="1404" t="s">
        <v>49</v>
      </c>
      <c r="I8" s="1404" t="s">
        <v>2155</v>
      </c>
      <c r="J8" s="2412"/>
      <c r="K8" s="428"/>
      <c r="L8" s="428"/>
      <c r="M8" s="428"/>
      <c r="N8" s="428"/>
      <c r="O8" s="148"/>
      <c r="P8" s="428"/>
      <c r="Q8" s="147"/>
      <c r="R8" s="147"/>
      <c r="S8" s="147"/>
      <c r="T8" s="147"/>
    </row>
    <row r="9" spans="1:254" s="1753" customFormat="1" ht="22.5" customHeight="1">
      <c r="A9" s="2006"/>
      <c r="B9" s="1036">
        <v>1</v>
      </c>
      <c r="C9" s="1036"/>
      <c r="D9" s="708"/>
      <c r="E9" s="1346">
        <v>1</v>
      </c>
      <c r="F9" s="1417"/>
      <c r="G9" s="1353"/>
      <c r="H9" s="1353"/>
      <c r="I9" s="1402"/>
      <c r="J9" s="2413" t="s">
        <v>2156</v>
      </c>
      <c r="K9" s="1399" t="e">
        <f ca="1">MERGEVALUE(F9)</f>
        <v>#NAME?</v>
      </c>
      <c r="L9" s="439"/>
      <c r="M9" s="439"/>
      <c r="N9" s="428" t="str">
        <f t="array" ref="N9">IF(ISERROR(MATCH(MID(O9,1,250),MID(note_ter,1,250),0)),"n","y")</f>
        <v>n</v>
      </c>
      <c r="O9" s="439"/>
      <c r="P9" s="428" t="str">
        <f>G9&amp;"("&amp;J9&amp;")"</f>
        <v>(Значение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v>
      </c>
      <c r="Q9" s="1036"/>
      <c r="R9" s="1036"/>
      <c r="S9" s="354"/>
      <c r="T9" s="1036"/>
      <c r="U9" s="1036"/>
      <c r="V9" s="1036"/>
      <c r="W9" s="356"/>
      <c r="X9" s="356"/>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6"/>
      <c r="BU9" s="356"/>
      <c r="BV9" s="356"/>
      <c r="BW9" s="356"/>
      <c r="BX9" s="356"/>
      <c r="BY9" s="356"/>
      <c r="BZ9" s="356"/>
      <c r="CA9" s="356"/>
      <c r="CB9" s="356"/>
      <c r="CC9" s="356"/>
    </row>
    <row r="10" spans="1:254" s="1753" customFormat="1" ht="15" customHeight="1">
      <c r="A10" s="2006"/>
      <c r="B10" s="1036"/>
      <c r="C10" s="347"/>
      <c r="D10" s="708"/>
      <c r="E10" s="1405"/>
      <c r="F10" s="1361" t="s">
        <v>2157</v>
      </c>
      <c r="G10" s="1406"/>
      <c r="H10" s="1406"/>
      <c r="I10" s="1406"/>
      <c r="J10" s="2414"/>
      <c r="K10" s="1400"/>
      <c r="L10" s="439"/>
      <c r="M10" s="439"/>
      <c r="N10" s="439"/>
      <c r="O10" s="428"/>
      <c r="P10" s="439"/>
      <c r="Q10" s="1036"/>
      <c r="R10" s="1036"/>
      <c r="S10" s="354"/>
      <c r="T10" s="1036"/>
      <c r="U10" s="1036"/>
      <c r="V10" s="1036"/>
      <c r="W10" s="356"/>
      <c r="X10" s="356"/>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6"/>
      <c r="BU10" s="356"/>
      <c r="BV10" s="356"/>
      <c r="BW10" s="356"/>
      <c r="BX10" s="356"/>
      <c r="BY10" s="356"/>
      <c r="BZ10" s="356"/>
      <c r="CA10" s="356"/>
      <c r="CB10" s="356"/>
      <c r="CC10" s="356"/>
    </row>
    <row r="11" spans="1:254" s="1651" customFormat="1" ht="21" customHeight="1">
      <c r="A11" s="1031"/>
      <c r="B11" s="1036"/>
      <c r="C11" s="1031"/>
      <c r="D11" s="384"/>
      <c r="E11" s="108"/>
      <c r="F11" s="108"/>
      <c r="G11" s="108"/>
      <c r="H11" s="108"/>
      <c r="I11" s="108"/>
      <c r="J11" s="108"/>
      <c r="K11" s="428"/>
      <c r="L11" s="428"/>
      <c r="M11" s="428"/>
      <c r="N11" s="428"/>
      <c r="O11" s="148"/>
      <c r="P11" s="428"/>
      <c r="Q11" s="147"/>
      <c r="R11" s="147"/>
      <c r="S11" s="147"/>
      <c r="T11" s="147"/>
    </row>
    <row r="12" spans="1:254" s="1651" customFormat="1" ht="14.25" customHeight="1">
      <c r="A12" s="1031"/>
      <c r="B12" s="1036"/>
      <c r="C12" s="1031"/>
      <c r="D12" s="384"/>
      <c r="E12" s="1031"/>
      <c r="F12" s="1031"/>
      <c r="G12" s="1031"/>
      <c r="H12" s="1031"/>
      <c r="I12" s="1031"/>
      <c r="J12" s="1031"/>
      <c r="K12" s="428"/>
      <c r="L12" s="428"/>
      <c r="M12" s="428"/>
      <c r="N12" s="428"/>
      <c r="O12" s="148"/>
      <c r="P12" s="428"/>
      <c r="Q12" s="147"/>
      <c r="R12" s="147"/>
      <c r="S12" s="147"/>
      <c r="T12" s="147"/>
    </row>
    <row r="13" spans="1:254" s="1651" customFormat="1" ht="0.75" customHeight="1">
      <c r="A13" s="1031"/>
      <c r="B13" s="1036"/>
      <c r="C13" s="1031"/>
      <c r="D13" s="384"/>
      <c r="E13" s="1031"/>
      <c r="F13" s="1031"/>
      <c r="G13" s="1031"/>
      <c r="H13" s="1031"/>
      <c r="I13" s="1031"/>
      <c r="J13" s="1031"/>
      <c r="K13" s="428"/>
      <c r="L13" s="428"/>
      <c r="M13" s="428"/>
      <c r="N13" s="428"/>
      <c r="O13" s="148"/>
      <c r="P13" s="428"/>
      <c r="Q13" s="147"/>
      <c r="R13" s="147"/>
      <c r="S13" s="147"/>
      <c r="T13" s="147"/>
    </row>
    <row r="14" spans="1:254" s="1737" customFormat="1" ht="10.5" customHeight="1">
      <c r="B14" s="740"/>
      <c r="D14" s="110"/>
      <c r="K14" s="428"/>
      <c r="L14" s="428"/>
      <c r="M14" s="428"/>
      <c r="N14" s="428"/>
      <c r="O14" s="148"/>
      <c r="P14" s="428"/>
      <c r="Q14" s="147"/>
      <c r="R14" s="147"/>
      <c r="S14" s="147"/>
      <c r="T14" s="147"/>
    </row>
    <row r="15" spans="1:254" s="1737" customFormat="1" ht="10.5" customHeight="1">
      <c r="B15" s="740"/>
      <c r="D15" s="110"/>
      <c r="K15" s="428"/>
      <c r="L15" s="428"/>
      <c r="M15" s="428"/>
      <c r="N15" s="428"/>
      <c r="O15" s="148"/>
      <c r="P15" s="428"/>
      <c r="Q15" s="147"/>
      <c r="R15" s="147"/>
      <c r="S15" s="147"/>
      <c r="T15" s="147"/>
    </row>
    <row r="19" spans="7:13" ht="14.25" customHeight="1">
      <c r="G19" s="300"/>
      <c r="H19" s="300"/>
      <c r="I19" s="300"/>
    </row>
    <row r="23" spans="7:13" ht="14.25" customHeight="1">
      <c r="K23" s="1031"/>
      <c r="L23" s="1031"/>
      <c r="M23" s="1031"/>
    </row>
  </sheetData>
  <sheetProtection formatColumns="0" formatRows="0" insertRows="0" deleteColumns="0" deleteRows="0" sort="0" autoFilter="0"/>
  <mergeCells count="5">
    <mergeCell ref="E5:J5"/>
    <mergeCell ref="A9:A10"/>
    <mergeCell ref="E7:I7"/>
    <mergeCell ref="J7:J8"/>
    <mergeCell ref="J9:J10"/>
  </mergeCells>
  <dataValidations count="1">
    <dataValidation type="textLength" allowBlank="1" showInputMessage="1" showErrorMessage="1" sqref="I2:I3 I9">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4"/>
  <sheetViews>
    <sheetView showGridLines="0" topLeftCell="D4" zoomScale="90" workbookViewId="0"/>
  </sheetViews>
  <sheetFormatPr defaultColWidth="9.140625" defaultRowHeight="14.25" customHeight="1"/>
  <cols>
    <col min="1" max="1" width="9.140625" style="1846" hidden="1"/>
    <col min="2" max="2" width="9.140625" style="1759" hidden="1"/>
    <col min="3" max="3" width="3.7109375" style="1846" hidden="1" customWidth="1"/>
    <col min="4" max="4" width="3.85546875" style="1760" customWidth="1"/>
    <col min="5" max="5" width="6.28515625" style="1846" customWidth="1"/>
    <col min="6" max="6" width="27.28515625" style="1846" customWidth="1"/>
    <col min="7" max="7" width="16.7109375" style="1846" customWidth="1"/>
    <col min="8" max="8" width="12.7109375" style="1846" customWidth="1"/>
    <col min="9" max="9" width="32.140625" style="1846" customWidth="1"/>
    <col min="10" max="11" width="41.85546875" style="1846" customWidth="1"/>
    <col min="12" max="12" width="89.5703125" style="1846" customWidth="1"/>
    <col min="13" max="13" width="3.7109375" style="1765" customWidth="1"/>
    <col min="14" max="16" width="9.140625" style="1765"/>
    <col min="17" max="17" width="25.7109375" style="1765" customWidth="1"/>
    <col min="18" max="18" width="14.42578125" style="1765" customWidth="1"/>
    <col min="19" max="22" width="9.140625" style="1766"/>
    <col min="23" max="256" width="9.140625" style="1846"/>
  </cols>
  <sheetData>
    <row r="1" spans="1:256" ht="14.25" hidden="1" customHeight="1"/>
    <row r="2" spans="1:256" s="1753" customFormat="1" ht="22.5" hidden="1" customHeight="1">
      <c r="A2" s="737"/>
      <c r="B2" s="1036">
        <v>1</v>
      </c>
      <c r="C2" s="1036"/>
      <c r="D2" s="708"/>
      <c r="E2" s="1346"/>
      <c r="F2" s="1403" t="str">
        <f>IF(ROIV_INFO_NAME="","",ROIV_INFO_NAME)</f>
        <v/>
      </c>
      <c r="G2" s="1591" t="s">
        <v>17</v>
      </c>
      <c r="H2" s="1402"/>
      <c r="I2" s="1402"/>
      <c r="J2" s="1040"/>
      <c r="K2" s="1040"/>
      <c r="L2" s="150"/>
      <c r="M2" s="1399" t="e">
        <f ca="1">MERGEVALUE(F2)</f>
        <v>#NAME?</v>
      </c>
      <c r="N2" s="439"/>
      <c r="O2" s="439"/>
      <c r="P2" s="428" t="str">
        <f t="array" ref="P2">IF(ISERROR(MATCH(MID(Q2,1,250),MID(note_ter,1,250),0)),"n","y")</f>
        <v>n</v>
      </c>
      <c r="Q2" s="439"/>
      <c r="R2" s="428" t="str">
        <f>G2&amp;"("&amp;L2&amp;")"</f>
        <v>()</v>
      </c>
      <c r="S2" s="1036"/>
      <c r="T2" s="1036"/>
      <c r="U2" s="354"/>
      <c r="V2" s="1036"/>
      <c r="W2" s="1036"/>
      <c r="X2" s="1036"/>
      <c r="Y2" s="356"/>
      <c r="Z2" s="356"/>
      <c r="AA2" s="353"/>
      <c r="AB2" s="353"/>
      <c r="AC2" s="353"/>
      <c r="AD2" s="353"/>
      <c r="AE2" s="353"/>
      <c r="AF2" s="353"/>
      <c r="AG2" s="353"/>
      <c r="AH2" s="353"/>
      <c r="AI2" s="353"/>
      <c r="AJ2" s="353"/>
      <c r="AK2" s="353"/>
      <c r="AL2" s="353"/>
      <c r="AM2" s="353"/>
      <c r="AN2" s="353"/>
      <c r="AO2" s="353"/>
      <c r="AP2" s="353"/>
      <c r="AQ2" s="353"/>
      <c r="AR2" s="353"/>
      <c r="AS2" s="353"/>
      <c r="AT2" s="353"/>
      <c r="AU2" s="353"/>
      <c r="AV2" s="353"/>
      <c r="AW2" s="353"/>
      <c r="AX2" s="353"/>
      <c r="AY2" s="353"/>
      <c r="AZ2" s="353"/>
      <c r="BA2" s="353"/>
      <c r="BB2" s="353"/>
      <c r="BC2" s="353"/>
      <c r="BD2" s="353"/>
      <c r="BE2" s="353"/>
      <c r="BF2" s="353"/>
      <c r="BG2" s="353"/>
      <c r="BH2" s="353"/>
      <c r="BI2" s="353"/>
      <c r="BJ2" s="353"/>
      <c r="BK2" s="353"/>
      <c r="BL2" s="353"/>
      <c r="BM2" s="353"/>
      <c r="BN2" s="353"/>
      <c r="BO2" s="353"/>
      <c r="BP2" s="353"/>
      <c r="BQ2" s="353"/>
      <c r="BR2" s="353"/>
      <c r="BS2" s="353"/>
      <c r="BT2" s="353"/>
      <c r="BU2" s="353"/>
      <c r="BV2" s="356"/>
      <c r="BW2" s="356"/>
      <c r="BX2" s="356"/>
      <c r="BY2" s="356"/>
      <c r="BZ2" s="356"/>
      <c r="CA2" s="356"/>
      <c r="CB2" s="356"/>
      <c r="CC2" s="356"/>
      <c r="CD2" s="356"/>
      <c r="CE2" s="356"/>
    </row>
    <row r="3" spans="1:256" s="1772" customFormat="1" ht="5.25" hidden="1" customHeight="1">
      <c r="A3" s="424"/>
      <c r="D3" s="422"/>
      <c r="F3" s="166" t="s">
        <v>83</v>
      </c>
      <c r="G3" s="1594" t="s">
        <v>84</v>
      </c>
      <c r="H3" s="422"/>
      <c r="I3" s="422"/>
      <c r="J3" s="422"/>
      <c r="K3" s="422"/>
      <c r="L3" s="149" t="s">
        <v>85</v>
      </c>
      <c r="M3" s="166" t="s">
        <v>83</v>
      </c>
      <c r="N3" s="166"/>
      <c r="O3" s="166"/>
      <c r="P3" s="166"/>
      <c r="Q3" s="167"/>
      <c r="R3" s="166"/>
      <c r="S3" s="166"/>
      <c r="T3" s="166"/>
      <c r="U3" s="166"/>
      <c r="V3" s="166"/>
      <c r="W3" s="149"/>
      <c r="X3" s="149"/>
      <c r="Y3" s="149"/>
      <c r="Z3" s="149"/>
      <c r="AA3" s="149"/>
      <c r="AB3" s="149"/>
      <c r="AC3" s="149"/>
      <c r="AD3" s="149"/>
      <c r="AE3" s="149"/>
      <c r="AF3" s="149"/>
      <c r="AG3" s="149"/>
      <c r="AH3" s="149"/>
      <c r="AI3" s="149"/>
      <c r="AJ3" s="149"/>
      <c r="AK3" s="149"/>
      <c r="AL3" s="149"/>
      <c r="AM3" s="149"/>
      <c r="AN3" s="149"/>
      <c r="AO3" s="149"/>
      <c r="AP3" s="149"/>
      <c r="AQ3" s="149"/>
      <c r="AR3" s="149"/>
      <c r="AS3" s="149"/>
      <c r="AT3" s="149"/>
      <c r="AU3" s="149"/>
      <c r="AV3" s="149"/>
      <c r="AW3" s="149"/>
      <c r="AX3" s="149"/>
      <c r="AY3" s="149"/>
      <c r="AZ3" s="149"/>
      <c r="BA3" s="149"/>
      <c r="BB3" s="149"/>
      <c r="BC3" s="149"/>
      <c r="BD3" s="149"/>
      <c r="BE3" s="149"/>
      <c r="BF3" s="149"/>
      <c r="BG3" s="149"/>
      <c r="BH3" s="149"/>
      <c r="BI3" s="149"/>
      <c r="BJ3" s="149"/>
      <c r="BK3" s="149"/>
      <c r="BL3" s="149"/>
      <c r="BM3" s="149"/>
      <c r="BN3" s="149"/>
      <c r="BO3" s="149"/>
      <c r="BP3" s="149"/>
      <c r="BQ3" s="149"/>
      <c r="BR3" s="149"/>
      <c r="BS3" s="149"/>
      <c r="BT3" s="149"/>
      <c r="BU3" s="149"/>
      <c r="BV3" s="149"/>
      <c r="BW3" s="149"/>
      <c r="BX3" s="149"/>
      <c r="BY3" s="149"/>
      <c r="BZ3" s="149"/>
      <c r="CA3" s="149"/>
      <c r="CB3" s="149"/>
      <c r="CC3" s="149"/>
      <c r="CD3" s="149"/>
      <c r="CE3" s="149"/>
      <c r="CF3" s="149"/>
      <c r="CG3" s="149"/>
      <c r="CH3" s="149"/>
      <c r="CI3" s="149"/>
      <c r="CJ3" s="149"/>
      <c r="CK3" s="149"/>
      <c r="CL3" s="149"/>
      <c r="CM3" s="149"/>
      <c r="CN3" s="149"/>
      <c r="CO3" s="149"/>
      <c r="CP3" s="149"/>
      <c r="CQ3" s="149"/>
      <c r="CR3" s="149"/>
      <c r="CS3" s="149"/>
      <c r="CT3" s="149"/>
      <c r="CU3" s="149"/>
      <c r="CV3" s="149"/>
      <c r="CW3" s="149"/>
      <c r="CX3" s="149"/>
      <c r="CY3" s="149"/>
      <c r="CZ3" s="149"/>
      <c r="DA3" s="149"/>
      <c r="DB3" s="149"/>
      <c r="DC3" s="149"/>
      <c r="DD3" s="149"/>
      <c r="DE3" s="149"/>
      <c r="DF3" s="149"/>
      <c r="DG3" s="149"/>
      <c r="DH3" s="149"/>
      <c r="DI3" s="149"/>
      <c r="DJ3" s="149"/>
      <c r="DK3" s="149"/>
      <c r="DL3" s="149"/>
      <c r="DM3" s="149"/>
      <c r="DN3" s="149"/>
      <c r="DO3" s="149"/>
      <c r="DP3" s="149"/>
      <c r="DQ3" s="149"/>
      <c r="DR3" s="149"/>
      <c r="DS3" s="149"/>
      <c r="DT3" s="149"/>
      <c r="DU3" s="149"/>
      <c r="DV3" s="149"/>
      <c r="DW3" s="149"/>
      <c r="DX3" s="149"/>
      <c r="DY3" s="149"/>
      <c r="DZ3" s="149"/>
      <c r="EA3" s="149"/>
      <c r="EB3" s="149"/>
      <c r="EC3" s="149"/>
      <c r="ED3" s="149"/>
      <c r="EE3" s="149"/>
      <c r="EF3" s="149"/>
      <c r="EG3" s="149"/>
      <c r="EH3" s="149"/>
      <c r="EI3" s="149"/>
      <c r="EJ3" s="149"/>
      <c r="EK3" s="149"/>
      <c r="EL3" s="149"/>
      <c r="EM3" s="149"/>
      <c r="EN3" s="149"/>
      <c r="EO3" s="149"/>
      <c r="EP3" s="149"/>
      <c r="EQ3" s="149"/>
      <c r="ER3" s="149"/>
      <c r="ES3" s="149"/>
      <c r="ET3" s="149"/>
      <c r="EU3" s="149"/>
      <c r="EV3" s="149"/>
      <c r="EW3" s="149"/>
      <c r="EX3" s="149"/>
      <c r="EY3" s="149"/>
      <c r="EZ3" s="149"/>
      <c r="FA3" s="149"/>
      <c r="FB3" s="149"/>
      <c r="FC3" s="149"/>
      <c r="FD3" s="149"/>
      <c r="FE3" s="149"/>
      <c r="FF3" s="149"/>
      <c r="FG3" s="149"/>
      <c r="FH3" s="149"/>
      <c r="FI3" s="149"/>
      <c r="FJ3" s="149"/>
      <c r="FK3" s="149"/>
      <c r="FL3" s="149"/>
      <c r="FM3" s="149"/>
      <c r="FN3" s="149"/>
      <c r="FO3" s="149"/>
      <c r="FP3" s="149"/>
      <c r="FQ3" s="149"/>
      <c r="FR3" s="149"/>
      <c r="FS3" s="149"/>
      <c r="FT3" s="149"/>
      <c r="FU3" s="149"/>
      <c r="FV3" s="149"/>
      <c r="FW3" s="149"/>
      <c r="FX3" s="149"/>
      <c r="FY3" s="149"/>
      <c r="FZ3" s="149"/>
      <c r="GA3" s="149"/>
      <c r="GB3" s="149"/>
      <c r="GC3" s="149"/>
      <c r="GD3" s="149"/>
      <c r="GE3" s="149"/>
      <c r="GF3" s="149"/>
      <c r="GG3" s="149"/>
      <c r="GH3" s="149"/>
      <c r="GI3" s="149"/>
      <c r="GJ3" s="149"/>
      <c r="GK3" s="149"/>
      <c r="GL3" s="149"/>
      <c r="GM3" s="149"/>
      <c r="GN3" s="149"/>
      <c r="GO3" s="149"/>
      <c r="GP3" s="149"/>
      <c r="GQ3" s="149"/>
      <c r="GR3" s="149"/>
      <c r="GS3" s="149"/>
      <c r="GT3" s="149"/>
      <c r="GU3" s="149"/>
      <c r="GV3" s="149"/>
      <c r="GW3" s="149"/>
      <c r="GX3" s="149"/>
      <c r="GY3" s="149"/>
      <c r="GZ3" s="149"/>
      <c r="HA3" s="149"/>
      <c r="HB3" s="149"/>
      <c r="HC3" s="149"/>
      <c r="HD3" s="149"/>
      <c r="HE3" s="149"/>
      <c r="HF3" s="149"/>
      <c r="HG3" s="149"/>
      <c r="HH3" s="149"/>
      <c r="HI3" s="149"/>
      <c r="HJ3" s="149"/>
      <c r="HK3" s="149"/>
      <c r="HL3" s="149"/>
      <c r="HM3" s="149"/>
      <c r="HN3" s="149"/>
      <c r="HO3" s="149"/>
      <c r="HP3" s="149"/>
      <c r="HQ3" s="149"/>
      <c r="HR3" s="149"/>
      <c r="HS3" s="149"/>
      <c r="HT3" s="149"/>
      <c r="HU3" s="149"/>
      <c r="HV3" s="149"/>
      <c r="HW3" s="149"/>
      <c r="HX3" s="149"/>
      <c r="HY3" s="149"/>
      <c r="HZ3" s="149"/>
      <c r="IA3" s="149"/>
      <c r="IB3" s="149"/>
      <c r="IC3" s="149"/>
      <c r="ID3" s="149"/>
      <c r="IE3" s="149"/>
      <c r="IF3" s="149"/>
      <c r="IG3" s="149"/>
      <c r="IH3" s="149"/>
      <c r="II3" s="149"/>
      <c r="IJ3" s="149"/>
      <c r="IK3" s="149"/>
      <c r="IL3" s="149"/>
      <c r="IM3" s="149"/>
      <c r="IN3" s="149"/>
      <c r="IO3" s="149"/>
      <c r="IP3" s="149"/>
      <c r="IQ3" s="149"/>
      <c r="IR3" s="149"/>
      <c r="IS3" s="149"/>
      <c r="IT3" s="149"/>
      <c r="IU3" s="149"/>
      <c r="IV3" s="149"/>
    </row>
    <row r="4" spans="1:256" s="1651" customFormat="1" ht="14.25" customHeight="1">
      <c r="A4" s="1031"/>
      <c r="B4" s="1036"/>
      <c r="C4" s="1031"/>
      <c r="D4" s="1357"/>
      <c r="E4" s="437"/>
      <c r="F4" s="437"/>
      <c r="G4" s="437"/>
      <c r="H4" s="437"/>
      <c r="I4" s="437"/>
      <c r="J4" s="437"/>
      <c r="K4" s="437"/>
      <c r="L4" s="94"/>
      <c r="M4" s="166"/>
      <c r="N4" s="428"/>
      <c r="O4" s="428"/>
      <c r="P4" s="428"/>
      <c r="Q4" s="148"/>
      <c r="R4" s="428"/>
      <c r="S4" s="147"/>
      <c r="T4" s="147"/>
      <c r="U4" s="147"/>
      <c r="V4" s="147"/>
    </row>
    <row r="5" spans="1:256" s="1651" customFormat="1" ht="25.5" customHeight="1">
      <c r="A5" s="1031"/>
      <c r="B5" s="1036"/>
      <c r="C5" s="1031"/>
      <c r="D5" s="1357"/>
      <c r="E5" s="2007" t="str">
        <f>"Форма 3. Информация о рассмотрении дел об установлении тарифов в сфере "&amp;IF(TEMPLATE_SPHERE="HEAT","теплоснабжения","водоснабжения и водоотведения")</f>
        <v>Форма 3. Информация о рассмотрении дел об установлении тарифов в сфере теплоснабжения</v>
      </c>
      <c r="F5" s="2007"/>
      <c r="G5" s="2007"/>
      <c r="H5" s="2007"/>
      <c r="I5" s="2007"/>
      <c r="J5" s="2007"/>
      <c r="K5" s="2007"/>
      <c r="L5" s="513"/>
      <c r="M5" s="166"/>
      <c r="N5" s="428"/>
      <c r="O5" s="428"/>
      <c r="P5" s="428"/>
      <c r="Q5" s="148"/>
      <c r="R5" s="428"/>
      <c r="S5" s="147"/>
      <c r="T5" s="147"/>
      <c r="U5" s="147"/>
      <c r="V5" s="147"/>
    </row>
    <row r="6" spans="1:256" s="1651" customFormat="1" ht="14.25" customHeight="1">
      <c r="A6" s="1031"/>
      <c r="B6" s="1036"/>
      <c r="C6" s="1031"/>
      <c r="D6" s="1357"/>
      <c r="E6" s="437"/>
      <c r="F6" s="95"/>
      <c r="G6" s="95"/>
      <c r="H6" s="95"/>
      <c r="I6" s="95"/>
      <c r="J6" s="95"/>
      <c r="K6" s="95"/>
      <c r="L6" s="96"/>
      <c r="M6" s="428"/>
      <c r="N6" s="428"/>
      <c r="O6" s="428"/>
      <c r="P6" s="428"/>
      <c r="Q6" s="148"/>
      <c r="R6" s="428"/>
      <c r="S6" s="147"/>
      <c r="T6" s="147"/>
      <c r="U6" s="147"/>
      <c r="V6" s="147"/>
    </row>
    <row r="7" spans="1:256" s="1651" customFormat="1" ht="14.25" customHeight="1">
      <c r="A7" s="1031"/>
      <c r="B7" s="1036"/>
      <c r="C7" s="1031"/>
      <c r="D7" s="1357"/>
      <c r="E7" s="2003" t="s">
        <v>292</v>
      </c>
      <c r="F7" s="2008"/>
      <c r="G7" s="2008"/>
      <c r="H7" s="2008"/>
      <c r="I7" s="2008"/>
      <c r="J7" s="2008"/>
      <c r="K7" s="2008"/>
      <c r="L7" s="2411" t="s">
        <v>293</v>
      </c>
      <c r="M7" s="428"/>
      <c r="N7" s="428"/>
      <c r="O7" s="428"/>
      <c r="P7" s="428"/>
      <c r="Q7" s="148"/>
      <c r="R7" s="428"/>
      <c r="S7" s="147"/>
      <c r="T7" s="147"/>
      <c r="U7" s="147"/>
      <c r="V7" s="147"/>
    </row>
    <row r="8" spans="1:256" s="1651" customFormat="1" ht="47.25" customHeight="1">
      <c r="A8" s="1031"/>
      <c r="B8" s="1036"/>
      <c r="C8" s="1031"/>
      <c r="D8" s="1357"/>
      <c r="E8" s="2416" t="s">
        <v>88</v>
      </c>
      <c r="F8" s="2416" t="s">
        <v>2136</v>
      </c>
      <c r="G8" s="2418" t="str">
        <f>"Заседание правления (коллегии органа регулирования тарифов, на котором планируется рассмотрение дела об установлении тарифов в сфере "&amp;IF(TEMPLATE_SPHERE="HEAT","теплоснабжения","водоснабжения и водоотведения")</f>
        <v>Заседание правления (коллегии органа регулирования тарифов, на котором планируется рассмотрение дела об установлении тарифов в сфере теплоснабжения</v>
      </c>
      <c r="H8" s="2419"/>
      <c r="I8" s="2420"/>
      <c r="J8" s="2416" t="str">
        <f>"Принятые органом регулирования тарифов решения об установлении тарифов в сфере "&amp;IF(TEMPLATE_SPHERE="HEAT","теплоснабжения","водоснабжения и водоотведения")</f>
        <v>Принятые органом регулирования тарифов решения об установлении тарифов в сфере теплоснабжения</v>
      </c>
      <c r="K8" s="2416" t="str">
        <f>"Протокол заседания правления (коллегии) органа регулирования тарифов, оформленный в соответствии с требованиями"&amp;IF(TEMPLATE_SPHERE="HEAT","законодательства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требованиямизаконодательства Российской Федерации</v>
      </c>
      <c r="L8" s="2415"/>
      <c r="M8" s="428"/>
      <c r="N8" s="428"/>
      <c r="O8" s="428"/>
      <c r="P8" s="428"/>
      <c r="Q8" s="148"/>
      <c r="R8" s="428"/>
      <c r="S8" s="147"/>
      <c r="T8" s="147"/>
      <c r="U8" s="147"/>
      <c r="V8" s="147"/>
    </row>
    <row r="9" spans="1:256" s="1651" customFormat="1" ht="56.25" customHeight="1">
      <c r="A9" s="1031"/>
      <c r="B9" s="1036"/>
      <c r="C9" s="1031"/>
      <c r="D9" s="1357"/>
      <c r="E9" s="2417"/>
      <c r="F9" s="2417"/>
      <c r="G9" s="1401" t="s">
        <v>2158</v>
      </c>
      <c r="H9" s="1401" t="s">
        <v>2159</v>
      </c>
      <c r="I9" s="1401" t="s">
        <v>2160</v>
      </c>
      <c r="J9" s="2417"/>
      <c r="K9" s="2417"/>
      <c r="L9" s="2412"/>
      <c r="M9" s="428"/>
      <c r="N9" s="428"/>
      <c r="O9" s="428"/>
      <c r="P9" s="428"/>
      <c r="Q9" s="148"/>
      <c r="R9" s="428"/>
      <c r="S9" s="147"/>
      <c r="T9" s="147"/>
      <c r="U9" s="147"/>
      <c r="V9" s="147"/>
    </row>
    <row r="10" spans="1:256" s="1753" customFormat="1" ht="22.5" customHeight="1">
      <c r="A10" s="2006"/>
      <c r="B10" s="1036">
        <v>1</v>
      </c>
      <c r="C10" s="1036"/>
      <c r="D10" s="707"/>
      <c r="E10" s="705">
        <v>1</v>
      </c>
      <c r="F10" s="1403" t="str">
        <f>IF(ROIV_INFO_NAME="","",ROIV_INFO_NAME)</f>
        <v/>
      </c>
      <c r="G10" s="1591" t="s">
        <v>17</v>
      </c>
      <c r="H10" s="1398"/>
      <c r="I10" s="1398"/>
      <c r="J10" s="1040"/>
      <c r="K10" s="1040"/>
      <c r="L10" s="2413" t="s">
        <v>2161</v>
      </c>
      <c r="M10" s="1399" t="e">
        <f ca="1">MERGEVALUE(F10)</f>
        <v>#NAME?</v>
      </c>
      <c r="N10" s="439"/>
      <c r="O10" s="439"/>
      <c r="P10" s="428" t="str">
        <f t="array" ref="P10">IF(ISERROR(MATCH(MID(Q10,1,250),MID(note_ter,1,250),0)),"n","y")</f>
        <v>n</v>
      </c>
      <c r="Q10" s="439"/>
      <c r="R10" s="428"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1036"/>
      <c r="T10" s="1036"/>
      <c r="U10" s="354"/>
      <c r="V10" s="1036"/>
      <c r="W10" s="1036"/>
      <c r="X10" s="1036"/>
      <c r="Y10" s="356"/>
      <c r="Z10" s="356"/>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6"/>
      <c r="BW10" s="356"/>
      <c r="BX10" s="356"/>
      <c r="BY10" s="356"/>
      <c r="BZ10" s="356"/>
      <c r="CA10" s="356"/>
      <c r="CB10" s="356"/>
      <c r="CC10" s="356"/>
      <c r="CD10" s="356"/>
      <c r="CE10" s="356"/>
    </row>
    <row r="11" spans="1:256" s="1753" customFormat="1" ht="15" customHeight="1">
      <c r="A11" s="2006"/>
      <c r="B11" s="1036"/>
      <c r="C11" s="347"/>
      <c r="D11" s="708"/>
      <c r="E11" s="355"/>
      <c r="F11" s="351" t="s">
        <v>2162</v>
      </c>
      <c r="G11" s="112"/>
      <c r="H11" s="112"/>
      <c r="I11" s="112"/>
      <c r="J11" s="112"/>
      <c r="K11" s="112"/>
      <c r="L11" s="2414"/>
      <c r="M11" s="1400"/>
      <c r="N11" s="439"/>
      <c r="O11" s="439"/>
      <c r="P11" s="439"/>
      <c r="Q11" s="428"/>
      <c r="R11" s="439"/>
      <c r="S11" s="1036"/>
      <c r="T11" s="1036"/>
      <c r="U11" s="354"/>
      <c r="V11" s="1036"/>
      <c r="W11" s="1036"/>
      <c r="X11" s="1036"/>
      <c r="Y11" s="356"/>
      <c r="Z11" s="356"/>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6"/>
      <c r="BW11" s="356"/>
      <c r="BX11" s="356"/>
      <c r="BY11" s="356"/>
      <c r="BZ11" s="356"/>
      <c r="CA11" s="356"/>
      <c r="CB11" s="356"/>
      <c r="CC11" s="356"/>
      <c r="CD11" s="356"/>
      <c r="CE11" s="356"/>
    </row>
    <row r="12" spans="1:256" s="1651" customFormat="1" ht="21" customHeight="1">
      <c r="A12" s="1031"/>
      <c r="B12" s="1036"/>
      <c r="C12" s="1031"/>
      <c r="D12" s="384"/>
      <c r="E12" s="108"/>
      <c r="F12" s="108"/>
      <c r="G12" s="108"/>
      <c r="H12" s="108"/>
      <c r="I12" s="108"/>
      <c r="J12" s="108"/>
      <c r="K12" s="108"/>
      <c r="L12" s="108"/>
      <c r="M12" s="428"/>
      <c r="N12" s="428"/>
      <c r="O12" s="428"/>
      <c r="P12" s="428"/>
      <c r="Q12" s="148"/>
      <c r="R12" s="428"/>
      <c r="S12" s="147"/>
      <c r="T12" s="147"/>
      <c r="U12" s="147"/>
      <c r="V12" s="147"/>
    </row>
    <row r="13" spans="1:256" s="1651" customFormat="1" ht="14.25" customHeight="1">
      <c r="A13" s="1031"/>
      <c r="B13" s="1036"/>
      <c r="C13" s="1031"/>
      <c r="D13" s="384"/>
      <c r="E13" s="1031"/>
      <c r="F13" s="1031"/>
      <c r="G13" s="1031"/>
      <c r="H13" s="1031"/>
      <c r="I13" s="1031"/>
      <c r="J13" s="1031"/>
      <c r="K13" s="1031"/>
      <c r="L13" s="1031"/>
      <c r="M13" s="428"/>
      <c r="N13" s="428"/>
      <c r="O13" s="428"/>
      <c r="P13" s="428"/>
      <c r="Q13" s="148"/>
      <c r="R13" s="428"/>
      <c r="S13" s="147"/>
      <c r="T13" s="147"/>
      <c r="U13" s="147"/>
      <c r="V13" s="147"/>
    </row>
    <row r="14" spans="1:256" s="1651" customFormat="1" ht="0.75" customHeight="1">
      <c r="A14" s="1031"/>
      <c r="B14" s="1036"/>
      <c r="C14" s="1031"/>
      <c r="D14" s="384"/>
      <c r="E14" s="1031"/>
      <c r="F14" s="1031"/>
      <c r="G14" s="1031"/>
      <c r="H14" s="1031"/>
      <c r="I14" s="1031"/>
      <c r="J14" s="1031"/>
      <c r="K14" s="1031"/>
      <c r="L14" s="1031"/>
      <c r="M14" s="428"/>
      <c r="N14" s="428"/>
      <c r="O14" s="428"/>
      <c r="P14" s="428"/>
      <c r="Q14" s="148"/>
      <c r="R14" s="428"/>
      <c r="S14" s="147"/>
      <c r="T14" s="147"/>
      <c r="U14" s="147"/>
      <c r="V14" s="147"/>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2:I3 H10:I1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Y16"/>
  <sheetViews>
    <sheetView showGridLines="0" topLeftCell="D5" zoomScale="90" workbookViewId="0"/>
  </sheetViews>
  <sheetFormatPr defaultColWidth="9.140625" defaultRowHeight="14.25" customHeight="1"/>
  <cols>
    <col min="1" max="1" width="9.140625" style="1846" hidden="1"/>
    <col min="2" max="2" width="9.140625" style="1759" hidden="1"/>
    <col min="3" max="3" width="3.7109375" style="1846" hidden="1" customWidth="1"/>
    <col min="4" max="4" width="3.85546875" style="1760" customWidth="1"/>
    <col min="5" max="5" width="10.140625" style="1846" customWidth="1"/>
    <col min="6" max="6" width="6.28515625" style="1846" customWidth="1"/>
    <col min="7" max="7" width="27.28515625" style="1846" customWidth="1"/>
    <col min="8" max="8" width="29.28515625" style="1846" customWidth="1"/>
    <col min="9" max="9" width="25.42578125" style="1846" customWidth="1"/>
    <col min="10" max="10" width="5.5703125" style="1846" customWidth="1"/>
    <col min="11" max="11" width="6.5703125" style="1846" customWidth="1"/>
    <col min="12" max="12" width="41.85546875" style="1846" customWidth="1"/>
    <col min="13" max="13" width="42.42578125" style="1846" customWidth="1"/>
    <col min="14" max="14" width="41.5703125" style="1846" customWidth="1"/>
    <col min="15" max="15" width="64.140625" style="1846" customWidth="1"/>
    <col min="16" max="16" width="3.7109375" style="1765" customWidth="1"/>
    <col min="17" max="19" width="9.140625" style="1765"/>
    <col min="20" max="20" width="25.7109375" style="1765" customWidth="1"/>
    <col min="21" max="21" width="14.42578125" style="1765" customWidth="1"/>
    <col min="22" max="25" width="9.140625" style="1766"/>
    <col min="26" max="259" width="9.140625" style="1846"/>
  </cols>
  <sheetData>
    <row r="1" spans="1:259" ht="14.25" hidden="1" customHeight="1"/>
    <row r="2" spans="1:259" s="1753" customFormat="1" ht="22.5" hidden="1" customHeight="1">
      <c r="A2" s="424"/>
      <c r="B2" s="1036">
        <v>1</v>
      </c>
      <c r="C2" s="1036"/>
      <c r="D2" s="708"/>
      <c r="E2" s="2021"/>
      <c r="F2" s="2021">
        <v>1</v>
      </c>
      <c r="G2" s="2298" t="str">
        <f>IF(region_name="","",region_name)</f>
        <v>Нижегородская область</v>
      </c>
      <c r="H2" s="2421"/>
      <c r="I2" s="2422"/>
      <c r="J2" s="403"/>
      <c r="K2" s="1346">
        <v>1</v>
      </c>
      <c r="L2" s="1040"/>
      <c r="M2" s="1040"/>
      <c r="N2" s="1040"/>
      <c r="O2" s="1040"/>
      <c r="P2" s="1399" t="e">
        <f ca="1">MERGEVALUE(G2)</f>
        <v>#NAME?</v>
      </c>
      <c r="Q2" s="439"/>
      <c r="R2" s="439"/>
      <c r="S2" s="428" t="str">
        <f t="array" ref="S2">IF(ISERROR(MATCH(MID(T2,1,250),MID(note_ter,1,250),0)),"n","y")</f>
        <v>n</v>
      </c>
      <c r="T2" s="439"/>
      <c r="U2" s="428"/>
      <c r="V2" s="1036"/>
      <c r="W2" s="1036"/>
      <c r="X2" s="354"/>
      <c r="Y2" s="1036"/>
      <c r="Z2" s="1036"/>
      <c r="AA2" s="1036"/>
      <c r="AB2" s="356"/>
      <c r="AC2" s="356"/>
      <c r="AD2" s="353"/>
      <c r="AE2" s="353"/>
      <c r="AF2" s="353"/>
      <c r="AG2" s="353"/>
      <c r="AH2" s="353"/>
      <c r="AI2" s="353"/>
      <c r="AJ2" s="353"/>
      <c r="AK2" s="353"/>
      <c r="AL2" s="353"/>
      <c r="AM2" s="353"/>
      <c r="AN2" s="353"/>
      <c r="AO2" s="353"/>
      <c r="AP2" s="353"/>
      <c r="AQ2" s="353"/>
      <c r="AR2" s="353"/>
      <c r="AS2" s="353"/>
      <c r="AT2" s="353"/>
      <c r="AU2" s="353"/>
      <c r="AV2" s="353"/>
      <c r="AW2" s="353"/>
      <c r="AX2" s="353"/>
      <c r="AY2" s="353"/>
      <c r="AZ2" s="353"/>
      <c r="BA2" s="353"/>
      <c r="BB2" s="353"/>
      <c r="BC2" s="353"/>
      <c r="BD2" s="353"/>
      <c r="BE2" s="353"/>
      <c r="BF2" s="353"/>
      <c r="BG2" s="353"/>
      <c r="BH2" s="353"/>
      <c r="BI2" s="353"/>
      <c r="BJ2" s="353"/>
      <c r="BK2" s="353"/>
      <c r="BL2" s="353"/>
      <c r="BM2" s="353"/>
      <c r="BN2" s="353"/>
      <c r="BO2" s="353"/>
      <c r="BP2" s="353"/>
      <c r="BQ2" s="353"/>
      <c r="BR2" s="353"/>
      <c r="BS2" s="353"/>
      <c r="BT2" s="353"/>
      <c r="BU2" s="353"/>
      <c r="BV2" s="353"/>
      <c r="BW2" s="353"/>
      <c r="BX2" s="353"/>
      <c r="BY2" s="356"/>
      <c r="BZ2" s="356"/>
      <c r="CA2" s="356"/>
      <c r="CB2" s="356"/>
      <c r="CC2" s="356"/>
      <c r="CD2" s="356"/>
      <c r="CE2" s="356"/>
      <c r="CF2" s="356"/>
      <c r="CG2" s="356"/>
      <c r="CH2" s="356"/>
    </row>
    <row r="3" spans="1:259" s="1753" customFormat="1" ht="22.5" hidden="1" customHeight="1">
      <c r="A3" s="737"/>
      <c r="B3" s="1036"/>
      <c r="C3" s="1036"/>
      <c r="D3" s="708"/>
      <c r="E3" s="2021"/>
      <c r="F3" s="2021"/>
      <c r="G3" s="2298"/>
      <c r="H3" s="2421"/>
      <c r="I3" s="2207"/>
      <c r="J3" s="1408"/>
      <c r="K3" s="1361"/>
      <c r="L3" s="1361" t="s">
        <v>2163</v>
      </c>
      <c r="M3" s="1411"/>
      <c r="N3" s="1411"/>
      <c r="O3" s="1412"/>
      <c r="P3" s="1399"/>
      <c r="Q3" s="439"/>
      <c r="R3" s="439"/>
      <c r="S3" s="428"/>
      <c r="T3" s="439"/>
      <c r="U3" s="428"/>
      <c r="V3" s="1036"/>
      <c r="W3" s="1036"/>
      <c r="X3" s="354"/>
      <c r="Y3" s="1036"/>
      <c r="Z3" s="1036"/>
      <c r="AA3" s="1036"/>
      <c r="AB3" s="356"/>
      <c r="AC3" s="356"/>
      <c r="AD3" s="353"/>
      <c r="AE3" s="353"/>
      <c r="AF3" s="353"/>
      <c r="AG3" s="353"/>
      <c r="AH3" s="353"/>
      <c r="AI3" s="353"/>
      <c r="AJ3" s="353"/>
      <c r="AK3" s="353"/>
      <c r="AL3" s="353"/>
      <c r="AM3" s="353"/>
      <c r="AN3" s="353"/>
      <c r="AO3" s="353"/>
      <c r="AP3" s="353"/>
      <c r="AQ3" s="353"/>
      <c r="AR3" s="353"/>
      <c r="AS3" s="353"/>
      <c r="AT3" s="353"/>
      <c r="AU3" s="353"/>
      <c r="AV3" s="353"/>
      <c r="AW3" s="353"/>
      <c r="AX3" s="353"/>
      <c r="AY3" s="353"/>
      <c r="AZ3" s="353"/>
      <c r="BA3" s="353"/>
      <c r="BB3" s="353"/>
      <c r="BC3" s="353"/>
      <c r="BD3" s="353"/>
      <c r="BE3" s="353"/>
      <c r="BF3" s="353"/>
      <c r="BG3" s="353"/>
      <c r="BH3" s="353"/>
      <c r="BI3" s="353"/>
      <c r="BJ3" s="353"/>
      <c r="BK3" s="353"/>
      <c r="BL3" s="353"/>
      <c r="BM3" s="353"/>
      <c r="BN3" s="353"/>
      <c r="BO3" s="353"/>
      <c r="BP3" s="353"/>
      <c r="BQ3" s="353"/>
      <c r="BR3" s="353"/>
      <c r="BS3" s="353"/>
      <c r="BT3" s="353"/>
      <c r="BU3" s="353"/>
      <c r="BV3" s="353"/>
      <c r="BW3" s="353"/>
      <c r="BX3" s="353"/>
      <c r="BY3" s="356"/>
      <c r="BZ3" s="356"/>
      <c r="CA3" s="356"/>
      <c r="CB3" s="356"/>
      <c r="CC3" s="356"/>
      <c r="CD3" s="356"/>
      <c r="CE3" s="356"/>
      <c r="CF3" s="356"/>
      <c r="CG3" s="356"/>
      <c r="CH3" s="356"/>
    </row>
    <row r="4" spans="1:259" s="1772" customFormat="1" ht="5.25" hidden="1" customHeight="1">
      <c r="A4" s="424"/>
      <c r="D4" s="422"/>
      <c r="G4" s="166" t="s">
        <v>83</v>
      </c>
      <c r="H4" s="422" t="s">
        <v>84</v>
      </c>
      <c r="I4" s="422"/>
      <c r="J4" s="1413"/>
      <c r="K4" s="1413"/>
      <c r="L4" s="1413"/>
      <c r="M4" s="1413"/>
      <c r="N4" s="1413"/>
      <c r="O4" s="1413"/>
      <c r="P4" s="166" t="s">
        <v>83</v>
      </c>
      <c r="Q4" s="166"/>
      <c r="R4" s="166"/>
      <c r="S4" s="166"/>
      <c r="T4" s="167"/>
      <c r="U4" s="166"/>
      <c r="V4" s="166"/>
      <c r="W4" s="166"/>
      <c r="X4" s="166"/>
      <c r="Y4" s="166"/>
      <c r="Z4" s="149"/>
      <c r="AA4" s="149"/>
      <c r="AB4" s="149"/>
      <c r="AC4" s="149"/>
      <c r="AD4" s="149"/>
      <c r="AE4" s="149"/>
      <c r="AF4" s="149"/>
      <c r="AG4" s="149"/>
      <c r="AH4" s="149"/>
      <c r="AI4" s="149"/>
      <c r="AJ4" s="149"/>
      <c r="AK4" s="149"/>
      <c r="AL4" s="149"/>
      <c r="AM4" s="149"/>
      <c r="AN4" s="149"/>
      <c r="AO4" s="149"/>
      <c r="AP4" s="149"/>
      <c r="AQ4" s="149"/>
      <c r="AR4" s="149"/>
      <c r="AS4" s="149"/>
      <c r="AT4" s="149"/>
      <c r="AU4" s="149"/>
      <c r="AV4" s="149"/>
      <c r="AW4" s="149"/>
      <c r="AX4" s="149"/>
      <c r="AY4" s="149"/>
      <c r="AZ4" s="149"/>
      <c r="BA4" s="149"/>
      <c r="BB4" s="149"/>
      <c r="BC4" s="149"/>
      <c r="BD4" s="149"/>
      <c r="BE4" s="149"/>
      <c r="BF4" s="149"/>
      <c r="BG4" s="149"/>
      <c r="BH4" s="149"/>
      <c r="BI4" s="149"/>
      <c r="BJ4" s="149"/>
      <c r="BK4" s="149"/>
      <c r="BL4" s="149"/>
      <c r="BM4" s="149"/>
      <c r="BN4" s="149"/>
      <c r="BO4" s="149"/>
      <c r="BP4" s="149"/>
      <c r="BQ4" s="149"/>
      <c r="BR4" s="149"/>
      <c r="BS4" s="149"/>
      <c r="BT4" s="149"/>
      <c r="BU4" s="149"/>
      <c r="BV4" s="149"/>
      <c r="BW4" s="149"/>
      <c r="BX4" s="149"/>
      <c r="BY4" s="149"/>
      <c r="BZ4" s="149"/>
      <c r="CA4" s="149"/>
      <c r="CB4" s="149"/>
      <c r="CC4" s="149"/>
      <c r="CD4" s="149"/>
      <c r="CE4" s="149"/>
      <c r="CF4" s="149"/>
      <c r="CG4" s="149"/>
      <c r="CH4" s="149"/>
      <c r="CI4" s="149"/>
      <c r="CJ4" s="149"/>
      <c r="CK4" s="149"/>
      <c r="CL4" s="149"/>
      <c r="CM4" s="149"/>
      <c r="CN4" s="149"/>
      <c r="CO4" s="149"/>
      <c r="CP4" s="149"/>
      <c r="CQ4" s="149"/>
      <c r="CR4" s="149"/>
      <c r="CS4" s="149"/>
      <c r="CT4" s="149"/>
      <c r="CU4" s="149"/>
      <c r="CV4" s="149"/>
      <c r="CW4" s="149"/>
      <c r="CX4" s="149"/>
      <c r="CY4" s="149"/>
      <c r="CZ4" s="149"/>
      <c r="DA4" s="149"/>
      <c r="DB4" s="149"/>
      <c r="DC4" s="149"/>
      <c r="DD4" s="149"/>
      <c r="DE4" s="149"/>
      <c r="DF4" s="149"/>
      <c r="DG4" s="149"/>
      <c r="DH4" s="149"/>
      <c r="DI4" s="149"/>
      <c r="DJ4" s="149"/>
      <c r="DK4" s="149"/>
      <c r="DL4" s="149"/>
      <c r="DM4" s="149"/>
      <c r="DN4" s="149"/>
      <c r="DO4" s="149"/>
      <c r="DP4" s="149"/>
      <c r="DQ4" s="149"/>
      <c r="DR4" s="149"/>
      <c r="DS4" s="149"/>
      <c r="DT4" s="149"/>
      <c r="DU4" s="149"/>
      <c r="DV4" s="149"/>
      <c r="DW4" s="149"/>
      <c r="DX4" s="149"/>
      <c r="DY4" s="149"/>
      <c r="DZ4" s="149"/>
      <c r="EA4" s="149"/>
      <c r="EB4" s="149"/>
      <c r="EC4" s="149"/>
      <c r="ED4" s="149"/>
      <c r="EE4" s="149"/>
      <c r="EF4" s="149"/>
      <c r="EG4" s="149"/>
      <c r="EH4" s="149"/>
      <c r="EI4" s="149"/>
      <c r="EJ4" s="149"/>
      <c r="EK4" s="149"/>
      <c r="EL4" s="149"/>
      <c r="EM4" s="149"/>
      <c r="EN4" s="149"/>
      <c r="EO4" s="149"/>
      <c r="EP4" s="149"/>
      <c r="EQ4" s="149"/>
      <c r="ER4" s="149"/>
      <c r="ES4" s="149"/>
      <c r="ET4" s="149"/>
      <c r="EU4" s="149"/>
      <c r="EV4" s="149"/>
      <c r="EW4" s="149"/>
      <c r="EX4" s="149"/>
      <c r="EY4" s="149"/>
      <c r="EZ4" s="149"/>
      <c r="FA4" s="149"/>
      <c r="FB4" s="149"/>
      <c r="FC4" s="149"/>
      <c r="FD4" s="149"/>
      <c r="FE4" s="149"/>
      <c r="FF4" s="149"/>
      <c r="FG4" s="149"/>
      <c r="FH4" s="149"/>
      <c r="FI4" s="149"/>
      <c r="FJ4" s="149"/>
      <c r="FK4" s="149"/>
      <c r="FL4" s="149"/>
      <c r="FM4" s="149"/>
      <c r="FN4" s="149"/>
      <c r="FO4" s="149"/>
      <c r="FP4" s="149"/>
      <c r="FQ4" s="149"/>
      <c r="FR4" s="149"/>
      <c r="FS4" s="149"/>
      <c r="FT4" s="149"/>
      <c r="FU4" s="149"/>
      <c r="FV4" s="149"/>
      <c r="FW4" s="149"/>
      <c r="FX4" s="149"/>
      <c r="FY4" s="149"/>
      <c r="FZ4" s="149"/>
      <c r="GA4" s="149"/>
      <c r="GB4" s="149"/>
      <c r="GC4" s="149"/>
      <c r="GD4" s="149"/>
      <c r="GE4" s="149"/>
      <c r="GF4" s="149"/>
      <c r="GG4" s="149"/>
      <c r="GH4" s="149"/>
      <c r="GI4" s="149"/>
      <c r="GJ4" s="149"/>
      <c r="GK4" s="149"/>
      <c r="GL4" s="149"/>
      <c r="GM4" s="149"/>
      <c r="GN4" s="149"/>
      <c r="GO4" s="149"/>
      <c r="GP4" s="149"/>
      <c r="GQ4" s="149"/>
      <c r="GR4" s="149"/>
      <c r="GS4" s="149"/>
      <c r="GT4" s="149"/>
      <c r="GU4" s="149"/>
      <c r="GV4" s="149"/>
      <c r="GW4" s="149"/>
      <c r="GX4" s="149"/>
      <c r="GY4" s="149"/>
      <c r="GZ4" s="149"/>
      <c r="HA4" s="149"/>
      <c r="HB4" s="149"/>
      <c r="HC4" s="149"/>
      <c r="HD4" s="149"/>
      <c r="HE4" s="149"/>
      <c r="HF4" s="149"/>
      <c r="HG4" s="149"/>
      <c r="HH4" s="149"/>
      <c r="HI4" s="149"/>
      <c r="HJ4" s="149"/>
      <c r="HK4" s="149"/>
      <c r="HL4" s="149"/>
      <c r="HM4" s="149"/>
      <c r="HN4" s="149"/>
      <c r="HO4" s="149"/>
      <c r="HP4" s="149"/>
      <c r="HQ4" s="149"/>
      <c r="HR4" s="149"/>
      <c r="HS4" s="149"/>
      <c r="HT4" s="149"/>
      <c r="HU4" s="149"/>
      <c r="HV4" s="149"/>
      <c r="HW4" s="149"/>
      <c r="HX4" s="149"/>
      <c r="HY4" s="149"/>
      <c r="HZ4" s="149"/>
      <c r="IA4" s="149"/>
      <c r="IB4" s="149"/>
      <c r="IC4" s="149"/>
      <c r="ID4" s="149"/>
      <c r="IE4" s="149"/>
      <c r="IF4" s="149"/>
      <c r="IG4" s="149"/>
      <c r="IH4" s="149"/>
      <c r="II4" s="149"/>
      <c r="IJ4" s="149"/>
      <c r="IK4" s="149"/>
      <c r="IL4" s="149"/>
      <c r="IM4" s="149"/>
      <c r="IN4" s="149"/>
      <c r="IO4" s="149"/>
      <c r="IP4" s="149"/>
      <c r="IQ4" s="149"/>
      <c r="IR4" s="149"/>
      <c r="IS4" s="149"/>
      <c r="IT4" s="149"/>
      <c r="IU4" s="149"/>
      <c r="IV4" s="149"/>
      <c r="IW4" s="149"/>
      <c r="IX4" s="149"/>
      <c r="IY4" s="149"/>
    </row>
    <row r="5" spans="1:259" s="1651" customFormat="1" ht="14.25" customHeight="1">
      <c r="A5" s="1031"/>
      <c r="B5" s="1036"/>
      <c r="C5" s="1031"/>
      <c r="D5" s="1357"/>
      <c r="E5" s="437"/>
      <c r="F5" s="437"/>
      <c r="G5" s="437"/>
      <c r="H5" s="437"/>
      <c r="I5" s="437"/>
      <c r="J5" s="437"/>
      <c r="K5" s="437"/>
      <c r="L5" s="437"/>
      <c r="M5" s="437"/>
      <c r="N5" s="437"/>
      <c r="O5" s="437"/>
      <c r="P5" s="166"/>
      <c r="Q5" s="428"/>
      <c r="R5" s="428"/>
      <c r="S5" s="428"/>
      <c r="T5" s="148"/>
      <c r="U5" s="428"/>
      <c r="V5" s="147"/>
      <c r="W5" s="147"/>
      <c r="X5" s="147"/>
      <c r="Y5" s="147"/>
    </row>
    <row r="6" spans="1:259" s="1651" customFormat="1" ht="25.5" customHeight="1">
      <c r="A6" s="1031"/>
      <c r="B6" s="1036"/>
      <c r="C6" s="1031"/>
      <c r="D6" s="1357"/>
      <c r="E6" s="2007" t="s">
        <v>2164</v>
      </c>
      <c r="F6" s="2007"/>
      <c r="G6" s="2007"/>
      <c r="H6" s="2007"/>
      <c r="I6" s="2007"/>
      <c r="J6" s="2007"/>
      <c r="K6" s="2007"/>
      <c r="L6" s="2007"/>
      <c r="M6" s="2007"/>
      <c r="N6" s="2007"/>
      <c r="O6" s="2007"/>
      <c r="P6" s="166"/>
      <c r="Q6" s="428"/>
      <c r="R6" s="428"/>
      <c r="S6" s="428"/>
      <c r="T6" s="148"/>
      <c r="U6" s="428"/>
      <c r="V6" s="147"/>
      <c r="W6" s="147"/>
      <c r="X6" s="147"/>
      <c r="Y6" s="147"/>
    </row>
    <row r="7" spans="1:259" s="1651" customFormat="1" ht="14.25" customHeight="1">
      <c r="A7" s="1031"/>
      <c r="B7" s="1036"/>
      <c r="C7" s="1031"/>
      <c r="D7" s="1357"/>
      <c r="E7" s="437"/>
      <c r="F7" s="437"/>
      <c r="G7" s="95"/>
      <c r="H7" s="95"/>
      <c r="I7" s="95"/>
      <c r="J7" s="95"/>
      <c r="K7" s="95"/>
      <c r="L7" s="95"/>
      <c r="M7" s="95"/>
      <c r="N7" s="95"/>
      <c r="O7" s="95"/>
      <c r="P7" s="428"/>
      <c r="Q7" s="428"/>
      <c r="R7" s="428"/>
      <c r="S7" s="428"/>
      <c r="T7" s="148"/>
      <c r="U7" s="428"/>
      <c r="V7" s="147"/>
      <c r="W7" s="147"/>
      <c r="X7" s="147"/>
      <c r="Y7" s="147"/>
    </row>
    <row r="8" spans="1:259" s="1747" customFormat="1" ht="42.75" customHeight="1">
      <c r="A8" s="1331"/>
      <c r="B8" s="1340"/>
      <c r="C8" s="1331"/>
      <c r="D8" s="1357"/>
      <c r="E8" s="1421" t="s">
        <v>293</v>
      </c>
      <c r="F8" s="1421"/>
      <c r="G8" s="1422" t="s">
        <v>297</v>
      </c>
      <c r="H8" s="1422" t="s">
        <v>2165</v>
      </c>
      <c r="I8" s="1422" t="s">
        <v>301</v>
      </c>
      <c r="J8" s="2426"/>
      <c r="K8" s="2427"/>
      <c r="L8" s="2428"/>
      <c r="M8" s="1422" t="s">
        <v>2166</v>
      </c>
      <c r="N8" s="1422" t="s">
        <v>2167</v>
      </c>
      <c r="O8" s="1422" t="s">
        <v>2168</v>
      </c>
      <c r="P8" s="1414"/>
      <c r="Q8" s="1414"/>
      <c r="R8" s="1414"/>
      <c r="S8" s="1414"/>
      <c r="T8" s="1415"/>
      <c r="U8" s="1414"/>
      <c r="V8" s="1416"/>
      <c r="W8" s="1416"/>
      <c r="X8" s="1416"/>
      <c r="Y8" s="1416"/>
    </row>
    <row r="9" spans="1:259" s="1651" customFormat="1" ht="47.25" customHeight="1">
      <c r="A9" s="1031"/>
      <c r="B9" s="1036"/>
      <c r="C9" s="1031"/>
      <c r="D9" s="1357"/>
      <c r="E9" s="2136" t="s">
        <v>292</v>
      </c>
      <c r="F9" s="2417" t="s">
        <v>88</v>
      </c>
      <c r="G9" s="2417" t="s">
        <v>296</v>
      </c>
      <c r="H9" s="2417" t="s">
        <v>2169</v>
      </c>
      <c r="I9" s="2417"/>
      <c r="J9" s="2417" t="s">
        <v>2170</v>
      </c>
      <c r="K9" s="2417"/>
      <c r="L9" s="2417"/>
      <c r="M9" s="2417" t="s">
        <v>2171</v>
      </c>
      <c r="N9" s="2417" t="s">
        <v>2172</v>
      </c>
      <c r="O9" s="2417" t="s">
        <v>2173</v>
      </c>
      <c r="P9" s="428"/>
      <c r="Q9" s="428"/>
      <c r="R9" s="428"/>
      <c r="S9" s="428"/>
      <c r="T9" s="148"/>
      <c r="U9" s="428"/>
      <c r="V9" s="147"/>
      <c r="W9" s="147"/>
      <c r="X9" s="147"/>
      <c r="Y9" s="147"/>
    </row>
    <row r="10" spans="1:259" s="1651" customFormat="1" ht="56.25" customHeight="1">
      <c r="A10" s="1031"/>
      <c r="B10" s="1036"/>
      <c r="C10" s="1031"/>
      <c r="D10" s="1357"/>
      <c r="E10" s="2021"/>
      <c r="F10" s="2425"/>
      <c r="G10" s="2425"/>
      <c r="H10" s="100" t="s">
        <v>2174</v>
      </c>
      <c r="I10" s="100" t="s">
        <v>300</v>
      </c>
      <c r="J10" s="2416"/>
      <c r="K10" s="2416"/>
      <c r="L10" s="2425"/>
      <c r="M10" s="2425"/>
      <c r="N10" s="2425"/>
      <c r="O10" s="2425"/>
      <c r="P10" s="428"/>
      <c r="Q10" s="428"/>
      <c r="R10" s="428"/>
      <c r="S10" s="428"/>
      <c r="T10" s="148"/>
      <c r="U10" s="428"/>
      <c r="V10" s="147"/>
      <c r="W10" s="147"/>
      <c r="X10" s="147"/>
      <c r="Y10" s="147"/>
    </row>
    <row r="11" spans="1:259" s="1753" customFormat="1" ht="22.5" customHeight="1">
      <c r="A11" s="2006">
        <v>26379339</v>
      </c>
      <c r="B11" s="1036">
        <v>1</v>
      </c>
      <c r="C11" s="1036"/>
      <c r="D11" s="708"/>
      <c r="E11" s="2136"/>
      <c r="F11" s="2136">
        <v>1</v>
      </c>
      <c r="G11" s="2423" t="str">
        <f>IF(region_name="","",region_name)</f>
        <v>Нижегородская область</v>
      </c>
      <c r="H11" s="2424"/>
      <c r="I11" s="2429"/>
      <c r="J11" s="403"/>
      <c r="K11" s="1346">
        <v>1</v>
      </c>
      <c r="L11" s="1423"/>
      <c r="M11" s="1410"/>
      <c r="N11" s="1410"/>
      <c r="O11" s="1409"/>
      <c r="P11" s="1399" t="e">
        <f ca="1">MERGEVALUE(G11)</f>
        <v>#NAME?</v>
      </c>
      <c r="Q11" s="439"/>
      <c r="R11" s="439"/>
      <c r="S11" s="428" t="str">
        <f t="array" ref="S11">IF(ISERROR(MATCH(MID(T11,1,250),MID(note_ter,1,250),0)),"n","y")</f>
        <v>n</v>
      </c>
      <c r="T11" s="439"/>
      <c r="U11" s="428"/>
      <c r="V11" s="1036"/>
      <c r="W11" s="1036"/>
      <c r="X11" s="354"/>
      <c r="Y11" s="1036"/>
      <c r="Z11" s="1036"/>
      <c r="AA11" s="1036"/>
      <c r="AB11" s="356"/>
      <c r="AC11" s="356"/>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6"/>
      <c r="BZ11" s="356"/>
      <c r="CA11" s="356"/>
      <c r="CB11" s="356"/>
      <c r="CC11" s="356"/>
      <c r="CD11" s="356"/>
      <c r="CE11" s="356"/>
      <c r="CF11" s="356"/>
      <c r="CG11" s="356"/>
      <c r="CH11" s="356"/>
    </row>
    <row r="12" spans="1:259" s="1753" customFormat="1" ht="22.5" customHeight="1">
      <c r="A12" s="2006"/>
      <c r="B12" s="1036"/>
      <c r="C12" s="1036"/>
      <c r="D12" s="708"/>
      <c r="E12" s="2136"/>
      <c r="F12" s="2136"/>
      <c r="G12" s="2423"/>
      <c r="H12" s="2424"/>
      <c r="I12" s="2213"/>
      <c r="J12" s="1408"/>
      <c r="K12" s="1361"/>
      <c r="L12" s="1361" t="s">
        <v>2163</v>
      </c>
      <c r="M12" s="1411"/>
      <c r="N12" s="1411"/>
      <c r="O12" s="1412"/>
      <c r="P12" s="1399"/>
      <c r="Q12" s="439"/>
      <c r="R12" s="439"/>
      <c r="S12" s="428"/>
      <c r="T12" s="439"/>
      <c r="U12" s="428"/>
      <c r="V12" s="1036"/>
      <c r="W12" s="1036"/>
      <c r="X12" s="354"/>
      <c r="Y12" s="1036"/>
      <c r="Z12" s="1036"/>
      <c r="AA12" s="1036"/>
      <c r="AB12" s="356"/>
      <c r="AC12" s="356"/>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6"/>
      <c r="BZ12" s="356"/>
      <c r="CA12" s="356"/>
      <c r="CB12" s="356"/>
      <c r="CC12" s="356"/>
      <c r="CD12" s="356"/>
      <c r="CE12" s="356"/>
      <c r="CF12" s="356"/>
      <c r="CG12" s="356"/>
      <c r="CH12" s="356"/>
    </row>
    <row r="13" spans="1:259" s="1753" customFormat="1" ht="22.5" customHeight="1">
      <c r="A13" s="2006"/>
      <c r="B13" s="1036"/>
      <c r="C13" s="347"/>
      <c r="D13" s="708"/>
      <c r="E13" s="1405"/>
      <c r="F13" s="1408"/>
      <c r="G13" s="1361" t="s">
        <v>2157</v>
      </c>
      <c r="H13" s="1406"/>
      <c r="I13" s="1406"/>
      <c r="J13" s="112"/>
      <c r="K13" s="112"/>
      <c r="L13" s="112"/>
      <c r="M13" s="112"/>
      <c r="N13" s="112"/>
      <c r="O13" s="1407"/>
      <c r="P13" s="1400"/>
      <c r="Q13" s="439"/>
      <c r="R13" s="439"/>
      <c r="S13" s="439"/>
      <c r="T13" s="428"/>
      <c r="U13" s="439"/>
      <c r="V13" s="1036"/>
      <c r="W13" s="1036"/>
      <c r="X13" s="354"/>
      <c r="Y13" s="1036"/>
      <c r="Z13" s="1036"/>
      <c r="AA13" s="1036"/>
      <c r="AB13" s="356"/>
      <c r="AC13" s="356"/>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6"/>
      <c r="BZ13" s="356"/>
      <c r="CA13" s="356"/>
      <c r="CB13" s="356"/>
      <c r="CC13" s="356"/>
      <c r="CD13" s="356"/>
      <c r="CE13" s="356"/>
      <c r="CF13" s="356"/>
      <c r="CG13" s="356"/>
      <c r="CH13" s="356"/>
    </row>
    <row r="14" spans="1:259" s="1651" customFormat="1" ht="21" customHeight="1">
      <c r="A14" s="1031"/>
      <c r="B14" s="1036"/>
      <c r="C14" s="1031"/>
      <c r="D14" s="384"/>
      <c r="E14" s="108"/>
      <c r="F14" s="108"/>
      <c r="G14" s="108"/>
      <c r="H14" s="108"/>
      <c r="I14" s="108"/>
      <c r="J14" s="108"/>
      <c r="K14" s="108"/>
      <c r="L14" s="108"/>
      <c r="M14" s="108"/>
      <c r="N14" s="437"/>
      <c r="O14" s="437"/>
      <c r="P14" s="428"/>
      <c r="Q14" s="428"/>
      <c r="R14" s="428"/>
      <c r="S14" s="428"/>
      <c r="T14" s="148"/>
      <c r="U14" s="428"/>
      <c r="V14" s="147"/>
      <c r="W14" s="147"/>
      <c r="X14" s="147"/>
      <c r="Y14" s="147"/>
    </row>
    <row r="15" spans="1:259" s="1651" customFormat="1" ht="14.25" customHeight="1">
      <c r="A15" s="1031"/>
      <c r="B15" s="1036"/>
      <c r="C15" s="1031"/>
      <c r="D15" s="384"/>
      <c r="E15" s="1031"/>
      <c r="F15" s="1031"/>
      <c r="G15" s="1031"/>
      <c r="H15" s="1031"/>
      <c r="I15" s="1031"/>
      <c r="J15" s="1031"/>
      <c r="K15" s="1031"/>
      <c r="L15" s="1031"/>
      <c r="M15" s="1031"/>
      <c r="N15" s="1031"/>
      <c r="O15" s="1031"/>
      <c r="P15" s="428"/>
      <c r="Q15" s="428"/>
      <c r="R15" s="428"/>
      <c r="S15" s="428"/>
      <c r="T15" s="148"/>
      <c r="U15" s="428"/>
      <c r="V15" s="147"/>
      <c r="W15" s="147"/>
      <c r="X15" s="147"/>
      <c r="Y15" s="147"/>
    </row>
    <row r="16" spans="1:259" s="1651" customFormat="1" ht="0.75" customHeight="1">
      <c r="A16" s="1031"/>
      <c r="B16" s="1036"/>
      <c r="C16" s="1031"/>
      <c r="D16" s="384"/>
      <c r="E16" s="1031"/>
      <c r="F16" s="1031"/>
      <c r="G16" s="1031"/>
      <c r="H16" s="1031"/>
      <c r="I16" s="1031"/>
      <c r="J16" s="1031"/>
      <c r="K16" s="1031"/>
      <c r="L16" s="1031"/>
      <c r="M16" s="1031"/>
      <c r="N16" s="1031"/>
      <c r="O16" s="1031"/>
      <c r="P16" s="428"/>
      <c r="Q16" s="428"/>
      <c r="R16" s="428"/>
      <c r="S16" s="428"/>
      <c r="T16" s="148"/>
      <c r="U16" s="428"/>
      <c r="V16" s="147"/>
      <c r="W16" s="147"/>
      <c r="X16" s="147"/>
      <c r="Y16" s="147"/>
    </row>
  </sheetData>
  <sheetProtection formatColumns="0" formatRows="0" insertRows="0" deleteColumns="0" deleteRows="0" sort="0" autoFilter="0"/>
  <mergeCells count="21">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 ref="E2:E3"/>
    <mergeCell ref="F2:F3"/>
    <mergeCell ref="G2:G3"/>
    <mergeCell ref="H2:H3"/>
    <mergeCell ref="I2:I3"/>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L12"/>
  <sheetViews>
    <sheetView showGridLines="0" topLeftCell="C6" zoomScale="90" workbookViewId="0"/>
  </sheetViews>
  <sheetFormatPr defaultColWidth="9.140625" defaultRowHeight="14.25" customHeight="1"/>
  <cols>
    <col min="1" max="2" width="9.140625" style="1749" hidden="1"/>
    <col min="3" max="3" width="3.7109375" style="1745" customWidth="1"/>
    <col min="4" max="4" width="6.28515625" style="1749" customWidth="1"/>
    <col min="5" max="5" width="94.85546875" style="1749" customWidth="1"/>
    <col min="6" max="12" width="9.140625" style="1749"/>
  </cols>
  <sheetData>
    <row r="1" spans="3:12" ht="14.25" hidden="1" customHeight="1">
      <c r="L1" s="182"/>
    </row>
    <row r="2" spans="3:12" ht="14.25" hidden="1" customHeight="1"/>
    <row r="3" spans="3:12" ht="14.25" hidden="1" customHeight="1"/>
    <row r="4" spans="3:12" ht="14.25" hidden="1" customHeight="1"/>
    <row r="5" spans="3:12" ht="14.25" hidden="1" customHeight="1"/>
    <row r="6" spans="3:12" ht="3" customHeight="1">
      <c r="C6" s="30"/>
      <c r="D6" s="10"/>
      <c r="E6" s="10"/>
    </row>
    <row r="7" spans="3:12" ht="22.5" customHeight="1">
      <c r="C7" s="30"/>
      <c r="D7" s="2007" t="s">
        <v>2175</v>
      </c>
      <c r="E7" s="2007"/>
      <c r="F7" s="185"/>
    </row>
    <row r="8" spans="3:12" ht="3" customHeight="1">
      <c r="C8" s="30"/>
      <c r="D8" s="10"/>
      <c r="E8" s="10"/>
    </row>
    <row r="9" spans="3:12" ht="15.75" customHeight="1">
      <c r="C9" s="30"/>
      <c r="D9" s="41" t="s">
        <v>88</v>
      </c>
      <c r="E9" s="44" t="s">
        <v>279</v>
      </c>
    </row>
    <row r="10" spans="3:12" ht="12" customHeight="1">
      <c r="C10" s="30"/>
      <c r="D10" s="26" t="s">
        <v>109</v>
      </c>
      <c r="E10" s="26" t="s">
        <v>110</v>
      </c>
    </row>
    <row r="11" spans="3:12" ht="15" hidden="1" customHeight="1">
      <c r="C11" s="30"/>
      <c r="D11" s="48">
        <v>0</v>
      </c>
      <c r="E11" s="78"/>
    </row>
    <row r="12" spans="3:12" ht="14.25" customHeight="1">
      <c r="C12" s="30"/>
      <c r="D12" s="45"/>
      <c r="E12" s="43" t="s">
        <v>2134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E4"/>
  <sheetViews>
    <sheetView showGridLines="0" zoomScale="90" workbookViewId="0"/>
  </sheetViews>
  <sheetFormatPr defaultColWidth="9.140625" defaultRowHeight="11.25" customHeight="1"/>
  <cols>
    <col min="1" max="1" width="1.7109375" style="1753" customWidth="1"/>
    <col min="2" max="2" width="34.5703125" style="1753" customWidth="1"/>
    <col min="3" max="3" width="85.5703125" style="1753" customWidth="1"/>
    <col min="4" max="4" width="17.7109375" style="1753" customWidth="1"/>
    <col min="5" max="5" width="9.140625" style="1753"/>
  </cols>
  <sheetData>
    <row r="1" spans="2:5" ht="3" customHeight="1"/>
    <row r="2" spans="2:5" ht="22.5" customHeight="1">
      <c r="B2" s="2430" t="s">
        <v>2176</v>
      </c>
      <c r="C2" s="2430"/>
      <c r="D2" s="2430"/>
      <c r="E2" s="186"/>
    </row>
    <row r="3" spans="2:5" ht="3" customHeight="1"/>
    <row r="4" spans="2:5" ht="21.75" customHeight="1">
      <c r="B4" s="315" t="s">
        <v>2177</v>
      </c>
      <c r="C4" s="315" t="s">
        <v>2178</v>
      </c>
      <c r="D4" s="315" t="s">
        <v>2179</v>
      </c>
    </row>
  </sheetData>
  <sheetProtection formatColumns="0" formatRows="0" insertRows="0" deleteColumns="0" deleteRows="0" sort="0" autoFilter="0"/>
  <autoFilter ref="B4:D4"/>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7"/>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I58"/>
  <sheetViews>
    <sheetView showGridLines="0" topLeftCell="C3" zoomScale="90" workbookViewId="0"/>
  </sheetViews>
  <sheetFormatPr defaultColWidth="9.140625" defaultRowHeight="11.25" customHeight="1"/>
  <cols>
    <col min="1" max="1" width="15" style="1744" hidden="1" customWidth="1"/>
    <col min="2" max="2" width="15" style="1644" hidden="1" customWidth="1"/>
    <col min="3" max="3" width="3.7109375" style="1649" customWidth="1"/>
    <col min="4" max="4" width="6.85546875" style="1650" customWidth="1"/>
    <col min="5" max="5" width="52.28515625" style="1649" customWidth="1"/>
    <col min="6" max="6" width="48.85546875" style="1649" customWidth="1"/>
    <col min="7" max="7" width="121.7109375" style="1649" customWidth="1"/>
    <col min="8" max="8" width="9.140625" style="1649"/>
    <col min="9" max="9" width="65" style="1649" customWidth="1"/>
  </cols>
  <sheetData>
    <row r="1" spans="1:9" ht="11.25" hidden="1" customHeight="1">
      <c r="A1" s="1545" t="s">
        <v>291</v>
      </c>
    </row>
    <row r="2" spans="1:9" ht="11.25" hidden="1" customHeight="1"/>
    <row r="3" spans="1:9" s="1643" customFormat="1" ht="11.25" customHeight="1">
      <c r="A3" s="1545"/>
      <c r="B3" s="429"/>
      <c r="D3" s="406"/>
    </row>
    <row r="4" spans="1:9" ht="36.75" customHeight="1">
      <c r="D4" s="2014" t="str">
        <f>ORG_INFO_NAME_FORM</f>
        <v>Форма 1. Информация о регулируемой организации,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 (общая информация)</v>
      </c>
      <c r="E4" s="2015"/>
      <c r="F4" s="2016"/>
      <c r="I4" s="629"/>
    </row>
    <row r="5" spans="1:9" ht="17.25" customHeight="1">
      <c r="D5" s="2113" t="str">
        <f>IF(org=0,"Не определено",org)</f>
        <v>ООО "Автозаводская ТЭЦ"</v>
      </c>
      <c r="E5" s="2113"/>
      <c r="F5" s="2113"/>
      <c r="I5" s="629"/>
    </row>
    <row r="6" spans="1:9" s="1643" customFormat="1" ht="11.25" customHeight="1">
      <c r="A6" s="1545"/>
      <c r="B6" s="429"/>
      <c r="D6" s="628"/>
      <c r="E6" s="628"/>
      <c r="F6" s="665"/>
      <c r="G6" s="628"/>
    </row>
    <row r="7" spans="1:9" ht="11.25" hidden="1" customHeight="1">
      <c r="A7" s="387"/>
      <c r="B7" s="430"/>
      <c r="C7" s="387"/>
      <c r="D7" s="392"/>
      <c r="E7" s="2109"/>
      <c r="F7" s="2109"/>
    </row>
    <row r="8" spans="1:9" ht="11.25" customHeight="1">
      <c r="A8" s="387"/>
      <c r="B8" s="430"/>
      <c r="C8" s="387"/>
      <c r="D8" s="2105" t="s">
        <v>292</v>
      </c>
      <c r="E8" s="2106"/>
      <c r="F8" s="2106"/>
      <c r="G8" s="2110" t="s">
        <v>293</v>
      </c>
    </row>
    <row r="9" spans="1:9" ht="11.25" customHeight="1">
      <c r="A9" s="387"/>
      <c r="B9" s="430"/>
      <c r="C9" s="387"/>
      <c r="D9" s="401" t="s">
        <v>88</v>
      </c>
      <c r="E9" s="380" t="s">
        <v>294</v>
      </c>
      <c r="F9" s="380" t="s">
        <v>295</v>
      </c>
      <c r="G9" s="2111"/>
    </row>
    <row r="10" spans="1:9" ht="12" hidden="1" customHeight="1">
      <c r="A10" s="387"/>
      <c r="B10" s="430"/>
      <c r="C10" s="387"/>
      <c r="D10" s="393"/>
      <c r="E10" s="393"/>
      <c r="F10" s="393"/>
      <c r="G10" s="393"/>
    </row>
    <row r="11" spans="1:9" ht="22.5" hidden="1" customHeight="1">
      <c r="A11" s="387"/>
      <c r="B11" s="430"/>
      <c r="C11" s="387"/>
      <c r="D11" s="901" t="s">
        <v>109</v>
      </c>
      <c r="E11" s="904" t="s">
        <v>296</v>
      </c>
      <c r="F11" s="903" t="str">
        <f>IF(region_name="","",region_name)</f>
        <v>Нижегородская область</v>
      </c>
      <c r="G11" s="904" t="s">
        <v>297</v>
      </c>
      <c r="H11" s="404"/>
    </row>
    <row r="12" spans="1:9" ht="22.5" hidden="1" customHeight="1">
      <c r="A12" s="387"/>
      <c r="B12" s="430"/>
      <c r="C12" s="387"/>
      <c r="D12" s="379" t="s">
        <v>109</v>
      </c>
      <c r="E12" s="37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77" t="s">
        <v>298</v>
      </c>
      <c r="G12" s="403"/>
      <c r="H12" s="404"/>
    </row>
    <row r="13" spans="1:9" ht="22.5" customHeight="1">
      <c r="A13" s="387"/>
      <c r="B13" s="430"/>
      <c r="C13" s="387"/>
      <c r="D13" s="379" t="s">
        <v>109</v>
      </c>
      <c r="E13" s="376" t="str">
        <f>"Наименование юридического лица"&amp;IF(TEMPLATE_SPHERE="TKO"," (индивидуального предпринимателя)","")</f>
        <v>Наименование юридического лица</v>
      </c>
      <c r="F13" s="375"/>
      <c r="G13" s="37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04"/>
    </row>
    <row r="14" spans="1:9" ht="22.5" hidden="1" customHeight="1">
      <c r="A14" s="387"/>
      <c r="B14" s="430"/>
      <c r="C14" s="387"/>
      <c r="D14" s="901" t="s">
        <v>299</v>
      </c>
      <c r="E14" s="902" t="s">
        <v>300</v>
      </c>
      <c r="F14" s="903" t="str">
        <f>IF(inn="","",inn)</f>
        <v>5256049357</v>
      </c>
      <c r="G14" s="904" t="s">
        <v>301</v>
      </c>
      <c r="H14" s="404"/>
    </row>
    <row r="15" spans="1:9" ht="22.5" hidden="1" customHeight="1">
      <c r="A15" s="387"/>
      <c r="B15" s="430"/>
      <c r="C15" s="387"/>
      <c r="D15" s="901" t="s">
        <v>302</v>
      </c>
      <c r="E15" s="902" t="s">
        <v>303</v>
      </c>
      <c r="F15" s="903" t="str">
        <f>IF(kpp="","",kpp)</f>
        <v>525601001</v>
      </c>
      <c r="G15" s="904" t="s">
        <v>304</v>
      </c>
      <c r="H15" s="404"/>
    </row>
    <row r="16" spans="1:9" ht="36.75" customHeight="1">
      <c r="A16" s="387"/>
      <c r="B16" s="430"/>
      <c r="C16" s="387"/>
      <c r="D16" s="379" t="s">
        <v>110</v>
      </c>
      <c r="E16" s="37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5"/>
      <c r="G16" s="37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04"/>
    </row>
    <row r="17" spans="1:9" ht="22.5" customHeight="1">
      <c r="A17" s="387"/>
      <c r="B17" s="430"/>
      <c r="C17" s="387"/>
      <c r="D17" s="379" t="s">
        <v>90</v>
      </c>
      <c r="E17" s="376" t="str">
        <f>"Дата присвоения ОГРН"&amp;IF(TEMPLATE_SPHERE="TKO",""," (ОГРНИП)")</f>
        <v>Дата присвоения ОГРН (ОГРНИП)</v>
      </c>
      <c r="F17" s="1591" t="s">
        <v>17</v>
      </c>
      <c r="G17" s="378" t="str">
        <f>"Дата присвоения ОГРН"&amp;IF(TEMPLATE_SPHERE="TKO",""," (ОГРНИП)")&amp;" указывается в виде «ДД.ММ.ГГГГ»."</f>
        <v>Дата присвоения ОГРН (ОГРНИП) указывается в виде «ДД.ММ.ГГГГ».</v>
      </c>
      <c r="H17" s="404"/>
    </row>
    <row r="18" spans="1:9" ht="56.25" customHeight="1">
      <c r="A18" s="387"/>
      <c r="B18" s="430"/>
      <c r="C18" s="387"/>
      <c r="D18" s="379" t="s">
        <v>91</v>
      </c>
      <c r="E18" s="37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5"/>
      <c r="G18" s="403"/>
      <c r="H18" s="404"/>
    </row>
    <row r="19" spans="1:9" ht="22.5" hidden="1" customHeight="1">
      <c r="A19" s="2107">
        <v>1</v>
      </c>
      <c r="B19" s="430"/>
      <c r="C19" s="2112"/>
      <c r="D19" s="374">
        <v>5</v>
      </c>
      <c r="E19" s="376" t="s">
        <v>305</v>
      </c>
      <c r="F19" s="377" t="s">
        <v>298</v>
      </c>
      <c r="G19" s="378" t="s">
        <v>306</v>
      </c>
      <c r="H19" s="404"/>
      <c r="I19" s="754"/>
    </row>
    <row r="20" spans="1:9" ht="33.75" hidden="1" customHeight="1">
      <c r="A20" s="2107"/>
      <c r="B20" s="430"/>
      <c r="C20" s="2112"/>
      <c r="D20" s="379" t="s">
        <v>307</v>
      </c>
      <c r="E20" s="373" t="s">
        <v>308</v>
      </c>
      <c r="F20" s="778" t="s">
        <v>17</v>
      </c>
      <c r="G20" s="403"/>
      <c r="H20" s="404"/>
      <c r="I20" s="754"/>
    </row>
    <row r="21" spans="1:9" ht="22.5" hidden="1" customHeight="1">
      <c r="A21" s="2107"/>
      <c r="B21" s="430"/>
      <c r="C21" s="2112"/>
      <c r="D21" s="379" t="s">
        <v>309</v>
      </c>
      <c r="E21" s="373" t="s">
        <v>310</v>
      </c>
      <c r="F21" s="1592" t="s">
        <v>17</v>
      </c>
      <c r="G21" s="378" t="s">
        <v>311</v>
      </c>
      <c r="H21" s="404"/>
      <c r="I21" s="754"/>
    </row>
    <row r="22" spans="1:9" ht="22.5" hidden="1" customHeight="1">
      <c r="A22" s="2107"/>
      <c r="B22" s="430"/>
      <c r="C22" s="2112"/>
      <c r="D22" s="379" t="s">
        <v>312</v>
      </c>
      <c r="E22" s="373" t="s">
        <v>313</v>
      </c>
      <c r="F22" s="778" t="s">
        <v>17</v>
      </c>
      <c r="G22" s="403"/>
      <c r="H22" s="404"/>
      <c r="I22" s="754"/>
    </row>
    <row r="23" spans="1:9" ht="22.5" hidden="1" customHeight="1">
      <c r="A23" s="2107"/>
      <c r="B23" s="430"/>
      <c r="C23" s="2112"/>
      <c r="D23" s="379" t="s">
        <v>314</v>
      </c>
      <c r="E23" s="373" t="s">
        <v>315</v>
      </c>
      <c r="F23" s="778" t="s">
        <v>17</v>
      </c>
      <c r="G23" s="378" t="s">
        <v>316</v>
      </c>
      <c r="H23" s="404"/>
      <c r="I23" s="754"/>
    </row>
    <row r="24" spans="1:9" s="1644" customFormat="1" ht="24.75" hidden="1" customHeight="1">
      <c r="A24" s="387"/>
      <c r="B24" s="430"/>
      <c r="C24" s="430"/>
      <c r="D24" s="898" t="s">
        <v>90</v>
      </c>
      <c r="E24" s="900" t="s">
        <v>317</v>
      </c>
      <c r="F24" s="905" t="s">
        <v>298</v>
      </c>
      <c r="G24" s="900"/>
    </row>
    <row r="25" spans="1:9" s="1644" customFormat="1" ht="11.25" hidden="1" customHeight="1">
      <c r="A25" s="387"/>
      <c r="B25" s="430"/>
      <c r="C25" s="430"/>
      <c r="D25" s="898" t="s">
        <v>318</v>
      </c>
      <c r="E25" s="899" t="s">
        <v>319</v>
      </c>
      <c r="F25" s="905" t="s">
        <v>298</v>
      </c>
      <c r="G25" s="900"/>
    </row>
    <row r="26" spans="1:9" s="1644" customFormat="1" ht="11.25" hidden="1" customHeight="1">
      <c r="A26" s="387"/>
      <c r="B26" s="430"/>
      <c r="C26" s="430"/>
      <c r="D26" s="898" t="s">
        <v>320</v>
      </c>
      <c r="E26" s="906" t="s">
        <v>321</v>
      </c>
      <c r="F26" s="907"/>
      <c r="G26" s="90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row>
    <row r="27" spans="1:9" s="1644" customFormat="1" ht="11.25" hidden="1" customHeight="1">
      <c r="A27" s="387"/>
      <c r="B27" s="430"/>
      <c r="C27" s="430"/>
      <c r="D27" s="898" t="s">
        <v>322</v>
      </c>
      <c r="E27" s="906" t="s">
        <v>323</v>
      </c>
      <c r="F27" s="907"/>
      <c r="G27" s="90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row>
    <row r="28" spans="1:9" s="1644" customFormat="1" ht="11.25" hidden="1" customHeight="1">
      <c r="A28" s="387"/>
      <c r="B28" s="430"/>
      <c r="C28" s="430"/>
      <c r="D28" s="898" t="s">
        <v>324</v>
      </c>
      <c r="E28" s="906" t="s">
        <v>325</v>
      </c>
      <c r="F28" s="907"/>
      <c r="G28" s="90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row>
    <row r="29" spans="1:9" s="1644" customFormat="1" ht="11.25" hidden="1" customHeight="1">
      <c r="A29" s="387"/>
      <c r="B29" s="430"/>
      <c r="C29" s="430"/>
      <c r="D29" s="898" t="s">
        <v>326</v>
      </c>
      <c r="E29" s="899" t="s">
        <v>327</v>
      </c>
      <c r="F29" s="907"/>
      <c r="G29" s="900"/>
    </row>
    <row r="30" spans="1:9" s="1644" customFormat="1" ht="11.25" hidden="1" customHeight="1">
      <c r="A30" s="387"/>
      <c r="B30" s="430"/>
      <c r="C30" s="430"/>
      <c r="D30" s="898" t="s">
        <v>328</v>
      </c>
      <c r="E30" s="899" t="s">
        <v>329</v>
      </c>
      <c r="F30" s="907"/>
      <c r="G30" s="900"/>
    </row>
    <row r="31" spans="1:9" s="1644" customFormat="1" ht="11.25" hidden="1" customHeight="1">
      <c r="A31" s="387"/>
      <c r="B31" s="430"/>
      <c r="C31" s="430"/>
      <c r="D31" s="898" t="s">
        <v>330</v>
      </c>
      <c r="E31" s="899" t="s">
        <v>331</v>
      </c>
      <c r="F31" s="1645"/>
      <c r="G31" s="900"/>
    </row>
    <row r="32" spans="1:9" ht="22.5" customHeight="1">
      <c r="A32" s="387" t="str">
        <f>IF(TEMPLATE_SPHERE="HEAT","6","5")</f>
        <v>6</v>
      </c>
      <c r="B32" s="430"/>
      <c r="C32" s="387"/>
      <c r="D32" s="374" t="str">
        <f>A32</f>
        <v>6</v>
      </c>
      <c r="E32" s="37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2" s="377" t="s">
        <v>298</v>
      </c>
      <c r="G32" s="403"/>
      <c r="H32" s="404"/>
    </row>
    <row r="33" spans="1:8" ht="22.5" customHeight="1">
      <c r="A33" s="387"/>
      <c r="B33" s="430"/>
      <c r="C33" s="387"/>
      <c r="D33" s="374" t="str">
        <f>D32&amp;".1"</f>
        <v>6.1</v>
      </c>
      <c r="E33" s="376" t="str">
        <f>"фамилия"&amp;IF(TEMPLATE_SPHERE&lt;&gt;"HEAT"," руководителя","")</f>
        <v>фамилия</v>
      </c>
      <c r="F33" s="375"/>
      <c r="G33" s="37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3" s="404"/>
    </row>
    <row r="34" spans="1:8" ht="22.5" customHeight="1">
      <c r="A34" s="387"/>
      <c r="B34" s="430"/>
      <c r="C34" s="387"/>
      <c r="D34" s="374" t="str">
        <f>D32&amp;".2"</f>
        <v>6.2</v>
      </c>
      <c r="E34" s="376" t="str">
        <f>"имя"&amp;IF(TEMPLATE_SPHERE&lt;&gt;"HEAT"," руководителя","")</f>
        <v>имя</v>
      </c>
      <c r="F34" s="375"/>
      <c r="G34" s="37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4" s="404"/>
    </row>
    <row r="35" spans="1:8" ht="22.5" customHeight="1">
      <c r="A35" s="387"/>
      <c r="B35" s="430"/>
      <c r="C35" s="387"/>
      <c r="D35" s="374" t="str">
        <f>D32&amp;".3"</f>
        <v>6.3</v>
      </c>
      <c r="E35" s="376" t="str">
        <f>"отчество"&amp;IF(TEMPLATE_SPHERE&lt;&gt;"HEAT"," руководителя","")</f>
        <v>отчество</v>
      </c>
      <c r="F35" s="613"/>
      <c r="G35" s="37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5" s="404"/>
    </row>
    <row r="36" spans="1:8" ht="33.75" customHeight="1">
      <c r="A36" s="387"/>
      <c r="B36" s="430"/>
      <c r="C36" s="387"/>
      <c r="D36" s="374">
        <f>D32+1</f>
        <v>7</v>
      </c>
      <c r="E36" s="37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6" s="375"/>
      <c r="G36" s="378" t="s">
        <v>332</v>
      </c>
      <c r="H36" s="404"/>
    </row>
    <row r="37" spans="1:8" ht="33.75" customHeight="1">
      <c r="A37" s="387"/>
      <c r="B37" s="430"/>
      <c r="C37" s="387"/>
      <c r="D37" s="374">
        <f>D36+1</f>
        <v>8</v>
      </c>
      <c r="E37" s="37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7" s="375"/>
      <c r="G37" s="378" t="s">
        <v>332</v>
      </c>
      <c r="H37" s="404"/>
    </row>
    <row r="38" spans="1:8" ht="22.5" customHeight="1">
      <c r="A38" s="387"/>
      <c r="B38" s="430"/>
      <c r="C38" s="387"/>
      <c r="D38" s="374">
        <f>D37+1</f>
        <v>9</v>
      </c>
      <c r="E38" s="37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8" s="377" t="s">
        <v>298</v>
      </c>
      <c r="G38" s="211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404"/>
    </row>
    <row r="39" spans="1:8" ht="22.5" hidden="1" customHeight="1">
      <c r="A39" s="387"/>
      <c r="B39" s="430"/>
      <c r="C39" s="387"/>
      <c r="D39" s="374" t="str">
        <f>D38&amp;".0"</f>
        <v>9.0</v>
      </c>
      <c r="E39" s="1471"/>
      <c r="F39" s="778"/>
      <c r="G39" s="2115"/>
      <c r="H39" s="404"/>
    </row>
    <row r="40" spans="1:8" ht="22.5" customHeight="1">
      <c r="A40" s="387"/>
      <c r="B40" s="387"/>
      <c r="C40" s="1547"/>
      <c r="D40" s="374" t="str">
        <f>D38&amp;".1"</f>
        <v>9.1</v>
      </c>
      <c r="E40" s="762"/>
      <c r="F40" s="763"/>
      <c r="G40" s="2115"/>
      <c r="H40" s="404"/>
    </row>
    <row r="41" spans="1:8" ht="15" customHeight="1">
      <c r="A41" s="387"/>
      <c r="B41" s="430"/>
      <c r="C41" s="387"/>
      <c r="D41" s="396"/>
      <c r="E41" s="350" t="s">
        <v>333</v>
      </c>
      <c r="F41" s="398"/>
      <c r="G41" s="2116"/>
      <c r="H41" s="405"/>
    </row>
    <row r="42" spans="1:8" ht="25.5" customHeight="1">
      <c r="A42" s="387"/>
      <c r="B42" s="430"/>
      <c r="C42" s="387"/>
      <c r="D42" s="374">
        <f>D38+1</f>
        <v>10</v>
      </c>
      <c r="E42" s="37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2" s="1646"/>
      <c r="G42" s="37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404"/>
    </row>
    <row r="43" spans="1:8" ht="22.5" customHeight="1">
      <c r="A43" s="387"/>
      <c r="B43" s="430"/>
      <c r="C43" s="387"/>
      <c r="D43" s="374">
        <f>D42+1</f>
        <v>11</v>
      </c>
      <c r="E43" s="37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3" s="1647"/>
      <c r="G43" s="403" t="s">
        <v>334</v>
      </c>
      <c r="H43" s="404"/>
    </row>
    <row r="44" spans="1:8" ht="22.5" customHeight="1">
      <c r="A44" s="387"/>
      <c r="B44" s="430"/>
      <c r="C44" s="387"/>
      <c r="D44" s="374">
        <f>D43+1</f>
        <v>12</v>
      </c>
      <c r="E44" s="372" t="s">
        <v>335</v>
      </c>
      <c r="F44" s="377" t="s">
        <v>298</v>
      </c>
      <c r="G44" s="371" t="str">
        <f>IF(TEMPLATE_SPHERE="TKO","Указывается режим работы организации.","")</f>
        <v/>
      </c>
      <c r="H44" s="404"/>
    </row>
    <row r="45" spans="1:8" ht="22.5" customHeight="1">
      <c r="A45" s="387"/>
      <c r="B45" s="430"/>
      <c r="C45" s="387"/>
      <c r="D45" s="374" t="str">
        <f>D44&amp;".1"</f>
        <v>12.1</v>
      </c>
      <c r="E45" s="376" t="str">
        <f>"режим работы регулируемой организации"&amp;IF(TEMPLATE_SPHERE="HEAT",", ЕТО, ТО","")</f>
        <v>режим работы регулируемой организации, ЕТО, ТО</v>
      </c>
      <c r="F45" s="1543"/>
      <c r="G45" s="371" t="s">
        <v>336</v>
      </c>
      <c r="H45" s="404"/>
    </row>
    <row r="46" spans="1:8" ht="22.5" customHeight="1">
      <c r="A46" s="2103"/>
      <c r="B46" s="430"/>
      <c r="C46" s="420"/>
      <c r="D46" s="374" t="str">
        <f>D44&amp;".2"</f>
        <v>12.2</v>
      </c>
      <c r="E46" s="376" t="s">
        <v>337</v>
      </c>
      <c r="F46" s="418"/>
      <c r="G46" s="371" t="s">
        <v>338</v>
      </c>
      <c r="H46" s="404"/>
    </row>
    <row r="47" spans="1:8" ht="22.5" customHeight="1">
      <c r="A47" s="2103"/>
      <c r="B47" s="430"/>
      <c r="C47" s="420"/>
      <c r="D47" s="374" t="str">
        <f>D44&amp;".3"</f>
        <v>12.3</v>
      </c>
      <c r="E47" s="376" t="s">
        <v>339</v>
      </c>
      <c r="F47" s="418"/>
      <c r="G47" s="371" t="s">
        <v>340</v>
      </c>
      <c r="H47" s="404"/>
    </row>
    <row r="48" spans="1:8" ht="22.5" customHeight="1">
      <c r="A48" s="2103"/>
      <c r="B48" s="430"/>
      <c r="C48" s="420"/>
      <c r="D48" s="374" t="str">
        <f>IF(TEMPLATE_SPHERE="TKO",D44&amp;".0",D44&amp;".4")</f>
        <v>12.4</v>
      </c>
      <c r="E48" s="370" t="s">
        <v>341</v>
      </c>
      <c r="F48" s="1544"/>
      <c r="G48" s="1625" t="s">
        <v>342</v>
      </c>
      <c r="H48" s="404"/>
    </row>
    <row r="49" spans="1:9" ht="22.5" customHeight="1">
      <c r="A49" s="387"/>
      <c r="B49" s="430"/>
      <c r="C49" s="387"/>
      <c r="D49" s="396"/>
      <c r="E49" s="350" t="s">
        <v>343</v>
      </c>
      <c r="F49" s="397"/>
      <c r="G49" s="1625" t="s">
        <v>344</v>
      </c>
      <c r="H49" s="405"/>
    </row>
    <row r="50" spans="1:9" ht="22.5" customHeight="1">
      <c r="A50" s="760"/>
      <c r="B50" s="430"/>
      <c r="C50" s="420"/>
      <c r="D50" s="374">
        <f>D44+1</f>
        <v>13</v>
      </c>
      <c r="E50" s="456" t="s">
        <v>345</v>
      </c>
      <c r="F50" s="418"/>
      <c r="G50" s="1548"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0" s="404"/>
    </row>
    <row r="51" spans="1:9" ht="11.25" customHeight="1">
      <c r="A51" s="387"/>
      <c r="B51" s="430"/>
      <c r="C51" s="387"/>
    </row>
    <row r="52" spans="1:9" s="1648" customFormat="1" ht="30" customHeight="1">
      <c r="A52" s="1546"/>
      <c r="B52" s="431"/>
      <c r="C52" s="2104"/>
      <c r="D52" s="21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2" s="2108"/>
      <c r="F52" s="2108"/>
      <c r="G52" s="2108"/>
      <c r="H52" s="386"/>
      <c r="I52" s="386"/>
    </row>
    <row r="53" spans="1:9" s="1648" customFormat="1" ht="39.75" customHeight="1">
      <c r="A53" s="387"/>
      <c r="B53" s="430"/>
      <c r="C53" s="2104"/>
      <c r="D53" s="210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3" s="2108"/>
      <c r="F53" s="2108"/>
      <c r="G53" s="2108"/>
    </row>
    <row r="54" spans="1:9" ht="11.25" customHeight="1">
      <c r="D54" s="388"/>
      <c r="E54" s="389"/>
      <c r="F54" s="389"/>
      <c r="G54" s="389"/>
    </row>
    <row r="55" spans="1:9" ht="27" customHeight="1">
      <c r="D55" s="390"/>
      <c r="E55" s="388"/>
      <c r="F55" s="399"/>
      <c r="G55" s="399"/>
    </row>
    <row r="56" spans="1:9" ht="11.25" customHeight="1">
      <c r="D56" s="388"/>
      <c r="E56" s="388"/>
      <c r="F56" s="389"/>
      <c r="G56" s="389"/>
    </row>
    <row r="57" spans="1:9" ht="39" customHeight="1">
      <c r="D57" s="391"/>
      <c r="E57" s="400"/>
      <c r="F57" s="400"/>
      <c r="G57" s="400"/>
    </row>
    <row r="58" spans="1:9" ht="27" customHeight="1">
      <c r="D58" s="391"/>
      <c r="E58" s="400"/>
      <c r="F58" s="400"/>
      <c r="G58" s="400"/>
    </row>
  </sheetData>
  <sheetProtection formatColumns="0" formatRows="0" insertRows="0" deleteColumns="0" deleteRows="0" sort="0" autoFilter="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1753" customWidth="1"/>
    <col min="2" max="2" width="8.7109375" style="1753" customWidth="1"/>
    <col min="3" max="3" width="18.140625" style="1753" customWidth="1"/>
    <col min="4" max="4" width="12.5703125" style="1753" customWidth="1"/>
  </cols>
  <sheetData>
    <row r="1" spans="1:5" ht="11.25" customHeight="1">
      <c r="A1" s="666" t="s">
        <v>2180</v>
      </c>
      <c r="B1" s="1973" t="s">
        <v>2181</v>
      </c>
      <c r="C1" s="2431" t="s">
        <v>2182</v>
      </c>
      <c r="D1" s="2432"/>
      <c r="E1" s="742" t="s">
        <v>2183</v>
      </c>
    </row>
    <row r="2" spans="1:5" ht="11.25" customHeight="1">
      <c r="A2" s="1974"/>
      <c r="B2" s="676" t="s">
        <v>22</v>
      </c>
      <c r="C2" s="666"/>
      <c r="D2" s="675"/>
      <c r="E2" s="742"/>
    </row>
    <row r="3" spans="1:5" ht="11.25" customHeight="1">
      <c r="A3" s="1975"/>
      <c r="B3" s="1976" t="s">
        <v>28</v>
      </c>
      <c r="C3" s="666"/>
      <c r="D3" s="675"/>
      <c r="E3" s="742"/>
    </row>
    <row r="4" spans="1:5" ht="11.25" customHeight="1">
      <c r="A4" s="1977"/>
      <c r="B4" s="677" t="s">
        <v>718</v>
      </c>
      <c r="C4" s="666"/>
      <c r="D4" s="675"/>
      <c r="E4" s="742"/>
    </row>
    <row r="5" spans="1:5" ht="11.25" customHeight="1">
      <c r="A5" s="1978"/>
      <c r="B5" s="677" t="s">
        <v>493</v>
      </c>
      <c r="C5" s="1979" t="s">
        <v>454</v>
      </c>
      <c r="D5" s="1980" t="s">
        <v>2184</v>
      </c>
      <c r="E5" s="742"/>
    </row>
    <row r="6" spans="1:5" s="1753" customFormat="1" ht="11.25" customHeight="1">
      <c r="A6" s="1981"/>
      <c r="B6" s="677" t="s">
        <v>725</v>
      </c>
      <c r="C6" s="666"/>
      <c r="D6" s="675"/>
      <c r="E6" s="742"/>
    </row>
    <row r="7" spans="1:5" ht="11.25" customHeight="1">
      <c r="A7" s="1982"/>
      <c r="B7" s="677" t="s">
        <v>727</v>
      </c>
      <c r="C7" s="666"/>
      <c r="D7" s="675"/>
      <c r="E7" s="742"/>
    </row>
    <row r="8" spans="1:5" ht="11.25" customHeight="1">
      <c r="A8" s="668"/>
      <c r="B8" s="677" t="s">
        <v>726</v>
      </c>
      <c r="C8" s="666"/>
      <c r="D8" s="675"/>
      <c r="E8" s="742"/>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N927"/>
  <sheetViews>
    <sheetView showGridLines="0" workbookViewId="0"/>
  </sheetViews>
  <sheetFormatPr defaultColWidth="9.140625" defaultRowHeight="11.25" customHeight="1"/>
  <cols>
    <col min="1" max="2" width="9.140625" style="1753"/>
    <col min="3" max="3" width="20.7109375" style="1753" customWidth="1"/>
    <col min="4" max="4" width="25.140625" style="1753" customWidth="1"/>
    <col min="5" max="9" width="9.140625" style="1753"/>
  </cols>
  <sheetData>
    <row r="1" spans="1:14" ht="11.25" customHeight="1">
      <c r="A1" s="9" t="s">
        <v>2185</v>
      </c>
      <c r="B1" s="9" t="s">
        <v>2186</v>
      </c>
      <c r="C1" s="9" t="s">
        <v>2187</v>
      </c>
      <c r="D1" s="9" t="s">
        <v>2188</v>
      </c>
      <c r="E1" s="9" t="s">
        <v>2189</v>
      </c>
      <c r="F1" s="9" t="s">
        <v>2190</v>
      </c>
      <c r="G1" s="9" t="s">
        <v>2191</v>
      </c>
      <c r="H1" s="9" t="s">
        <v>2192</v>
      </c>
      <c r="I1" s="9" t="s">
        <v>2193</v>
      </c>
      <c r="J1" s="4" t="s">
        <v>2194</v>
      </c>
      <c r="K1" s="4" t="s">
        <v>2195</v>
      </c>
      <c r="L1" s="4" t="s">
        <v>2196</v>
      </c>
      <c r="M1" s="4" t="s">
        <v>2197</v>
      </c>
      <c r="N1" s="4" t="s">
        <v>2198</v>
      </c>
    </row>
    <row r="2" spans="1:14" ht="11.25" customHeight="1">
      <c r="A2" s="1753" t="s">
        <v>2199</v>
      </c>
      <c r="B2" s="1753" t="s">
        <v>14</v>
      </c>
      <c r="C2" s="1753" t="s">
        <v>2200</v>
      </c>
      <c r="D2" s="1753" t="s">
        <v>2201</v>
      </c>
      <c r="E2" s="1753" t="s">
        <v>2202</v>
      </c>
      <c r="F2" s="1753" t="s">
        <v>2203</v>
      </c>
      <c r="G2" s="1753" t="s">
        <v>2204</v>
      </c>
      <c r="H2" s="1753" t="s">
        <v>17</v>
      </c>
      <c r="I2" s="1753" t="s">
        <v>2205</v>
      </c>
      <c r="J2" s="4" t="s">
        <v>2206</v>
      </c>
      <c r="K2" s="4" t="s">
        <v>871</v>
      </c>
      <c r="L2" s="4" t="s">
        <v>2207</v>
      </c>
      <c r="M2" s="4" t="s">
        <v>2208</v>
      </c>
      <c r="N2" s="4" t="s">
        <v>392</v>
      </c>
    </row>
    <row r="3" spans="1:14" ht="11.25" customHeight="1">
      <c r="A3" s="1753" t="s">
        <v>2199</v>
      </c>
      <c r="B3" s="1753" t="s">
        <v>14</v>
      </c>
      <c r="C3" s="1753" t="s">
        <v>2200</v>
      </c>
      <c r="D3" s="1753" t="s">
        <v>2201</v>
      </c>
      <c r="E3" s="1753" t="s">
        <v>2202</v>
      </c>
      <c r="F3" s="1753" t="s">
        <v>2203</v>
      </c>
      <c r="G3" s="1753" t="s">
        <v>2204</v>
      </c>
      <c r="H3" s="1753" t="s">
        <v>17</v>
      </c>
      <c r="I3" s="1753" t="s">
        <v>2209</v>
      </c>
      <c r="J3" s="4" t="s">
        <v>17</v>
      </c>
      <c r="K3" s="4" t="s">
        <v>871</v>
      </c>
      <c r="L3" s="4" t="s">
        <v>2207</v>
      </c>
      <c r="M3" s="4" t="s">
        <v>2208</v>
      </c>
      <c r="N3" s="4" t="s">
        <v>392</v>
      </c>
    </row>
    <row r="4" spans="1:14" ht="11.25" customHeight="1">
      <c r="A4" s="1753" t="s">
        <v>2199</v>
      </c>
      <c r="B4" s="1753" t="s">
        <v>14</v>
      </c>
      <c r="C4" s="1753" t="s">
        <v>2210</v>
      </c>
      <c r="D4" s="1753" t="s">
        <v>2211</v>
      </c>
      <c r="E4" s="1753" t="s">
        <v>2212</v>
      </c>
      <c r="F4" s="1753" t="s">
        <v>2213</v>
      </c>
      <c r="G4" s="1753" t="s">
        <v>17</v>
      </c>
      <c r="H4" s="1753" t="s">
        <v>17</v>
      </c>
      <c r="I4" s="1753" t="s">
        <v>2214</v>
      </c>
      <c r="J4" s="4" t="s">
        <v>17</v>
      </c>
      <c r="K4" s="4" t="s">
        <v>871</v>
      </c>
      <c r="L4" s="4" t="s">
        <v>2207</v>
      </c>
      <c r="M4" s="4" t="s">
        <v>2208</v>
      </c>
      <c r="N4" s="4" t="s">
        <v>392</v>
      </c>
    </row>
    <row r="5" spans="1:14" ht="11.25" customHeight="1">
      <c r="A5" s="1753" t="s">
        <v>2199</v>
      </c>
      <c r="B5" s="1753" t="s">
        <v>14</v>
      </c>
      <c r="C5" s="1753" t="s">
        <v>2215</v>
      </c>
      <c r="D5" s="1753" t="s">
        <v>2216</v>
      </c>
      <c r="E5" s="1753" t="s">
        <v>2217</v>
      </c>
      <c r="F5" s="1753" t="s">
        <v>2218</v>
      </c>
      <c r="G5" s="1753" t="s">
        <v>2219</v>
      </c>
      <c r="H5" s="1753" t="s">
        <v>17</v>
      </c>
      <c r="I5" s="1753" t="s">
        <v>2219</v>
      </c>
      <c r="J5" s="4" t="s">
        <v>17</v>
      </c>
      <c r="K5" s="4" t="s">
        <v>871</v>
      </c>
      <c r="L5" s="4" t="s">
        <v>2207</v>
      </c>
      <c r="M5" s="4" t="s">
        <v>2208</v>
      </c>
      <c r="N5" s="4" t="s">
        <v>392</v>
      </c>
    </row>
    <row r="6" spans="1:14" ht="11.25" customHeight="1">
      <c r="A6" s="1753" t="s">
        <v>2199</v>
      </c>
      <c r="B6" s="1753" t="s">
        <v>14</v>
      </c>
      <c r="C6" s="1753" t="s">
        <v>2220</v>
      </c>
      <c r="D6" s="1753" t="s">
        <v>2221</v>
      </c>
      <c r="E6" s="1753" t="s">
        <v>2222</v>
      </c>
      <c r="F6" s="1753" t="s">
        <v>2223</v>
      </c>
      <c r="G6" s="1753" t="s">
        <v>17</v>
      </c>
      <c r="H6" s="1753" t="s">
        <v>17</v>
      </c>
      <c r="I6" s="1753" t="s">
        <v>2214</v>
      </c>
      <c r="J6" s="4" t="s">
        <v>17</v>
      </c>
      <c r="K6" s="4" t="s">
        <v>871</v>
      </c>
      <c r="L6" s="4" t="s">
        <v>2207</v>
      </c>
      <c r="M6" s="4" t="s">
        <v>2208</v>
      </c>
      <c r="N6" s="4" t="s">
        <v>392</v>
      </c>
    </row>
    <row r="7" spans="1:14" ht="11.25" customHeight="1">
      <c r="A7" s="1753" t="s">
        <v>2199</v>
      </c>
      <c r="B7" s="1753" t="s">
        <v>14</v>
      </c>
      <c r="C7" s="1753" t="s">
        <v>2224</v>
      </c>
      <c r="D7" s="1753" t="s">
        <v>2225</v>
      </c>
      <c r="E7" s="1753" t="s">
        <v>2226</v>
      </c>
      <c r="F7" s="1753" t="s">
        <v>2227</v>
      </c>
      <c r="G7" s="1753" t="s">
        <v>17</v>
      </c>
      <c r="H7" s="1753" t="s">
        <v>17</v>
      </c>
      <c r="I7" s="1753" t="s">
        <v>2214</v>
      </c>
      <c r="J7" s="4" t="s">
        <v>17</v>
      </c>
      <c r="K7" s="4" t="s">
        <v>931</v>
      </c>
      <c r="L7" s="4" t="s">
        <v>2228</v>
      </c>
      <c r="M7" s="4" t="s">
        <v>2229</v>
      </c>
      <c r="N7" s="4" t="s">
        <v>392</v>
      </c>
    </row>
    <row r="8" spans="1:14" ht="11.25" customHeight="1">
      <c r="A8" s="1753" t="s">
        <v>2199</v>
      </c>
      <c r="B8" s="1753" t="s">
        <v>14</v>
      </c>
      <c r="C8" s="1753" t="s">
        <v>2224</v>
      </c>
      <c r="D8" s="1753" t="s">
        <v>2225</v>
      </c>
      <c r="E8" s="1753" t="s">
        <v>2226</v>
      </c>
      <c r="F8" s="1753" t="s">
        <v>2227</v>
      </c>
      <c r="G8" s="1753" t="s">
        <v>17</v>
      </c>
      <c r="H8" s="1753" t="s">
        <v>17</v>
      </c>
      <c r="I8" s="1753" t="s">
        <v>2230</v>
      </c>
      <c r="J8" s="4" t="s">
        <v>17</v>
      </c>
      <c r="K8" s="4" t="s">
        <v>775</v>
      </c>
      <c r="L8" s="4" t="s">
        <v>2231</v>
      </c>
      <c r="M8" s="4" t="s">
        <v>2232</v>
      </c>
      <c r="N8" s="4" t="s">
        <v>392</v>
      </c>
    </row>
    <row r="9" spans="1:14" ht="11.25" customHeight="1">
      <c r="A9" s="1753" t="s">
        <v>2199</v>
      </c>
      <c r="B9" s="1753" t="s">
        <v>14</v>
      </c>
      <c r="C9" s="1753" t="s">
        <v>2233</v>
      </c>
      <c r="D9" s="1753" t="s">
        <v>2234</v>
      </c>
      <c r="E9" s="1753" t="s">
        <v>2235</v>
      </c>
      <c r="F9" s="1753" t="s">
        <v>2203</v>
      </c>
      <c r="G9" s="1753" t="s">
        <v>17</v>
      </c>
      <c r="H9" s="1753" t="s">
        <v>17</v>
      </c>
      <c r="I9" s="1753" t="s">
        <v>2214</v>
      </c>
      <c r="J9" s="4" t="s">
        <v>17</v>
      </c>
      <c r="K9" s="4" t="s">
        <v>871</v>
      </c>
      <c r="L9" s="4" t="s">
        <v>2207</v>
      </c>
      <c r="M9" s="4" t="s">
        <v>2208</v>
      </c>
      <c r="N9" s="4" t="s">
        <v>392</v>
      </c>
    </row>
    <row r="10" spans="1:14" ht="11.25" customHeight="1">
      <c r="A10" s="1753" t="s">
        <v>2199</v>
      </c>
      <c r="B10" s="1753" t="s">
        <v>14</v>
      </c>
      <c r="C10" s="1753" t="s">
        <v>2236</v>
      </c>
      <c r="D10" s="1753" t="s">
        <v>2237</v>
      </c>
      <c r="E10" s="1753" t="s">
        <v>2238</v>
      </c>
      <c r="F10" s="1753" t="s">
        <v>2227</v>
      </c>
      <c r="G10" s="1753" t="s">
        <v>17</v>
      </c>
      <c r="H10" s="1753" t="s">
        <v>17</v>
      </c>
      <c r="I10" s="1753" t="s">
        <v>2239</v>
      </c>
      <c r="J10" t="s">
        <v>17</v>
      </c>
      <c r="K10" t="s">
        <v>915</v>
      </c>
      <c r="L10" t="s">
        <v>2240</v>
      </c>
      <c r="M10" t="s">
        <v>2241</v>
      </c>
      <c r="N10" t="s">
        <v>392</v>
      </c>
    </row>
    <row r="11" spans="1:14" ht="11.25" customHeight="1">
      <c r="A11" s="1753" t="s">
        <v>2199</v>
      </c>
      <c r="B11" s="1753" t="s">
        <v>14</v>
      </c>
      <c r="C11" s="1753" t="s">
        <v>2242</v>
      </c>
      <c r="D11" s="1753" t="s">
        <v>2243</v>
      </c>
      <c r="E11" s="1753" t="s">
        <v>2244</v>
      </c>
      <c r="F11" s="1753" t="s">
        <v>2245</v>
      </c>
      <c r="G11" s="1753" t="s">
        <v>17</v>
      </c>
      <c r="H11" s="1753" t="s">
        <v>17</v>
      </c>
      <c r="I11" s="1753" t="s">
        <v>2246</v>
      </c>
      <c r="J11" t="s">
        <v>17</v>
      </c>
      <c r="K11" t="s">
        <v>775</v>
      </c>
      <c r="L11" t="s">
        <v>2247</v>
      </c>
      <c r="M11" t="s">
        <v>2248</v>
      </c>
      <c r="N11" t="s">
        <v>392</v>
      </c>
    </row>
    <row r="12" spans="1:14" ht="11.25" customHeight="1">
      <c r="A12" s="1753" t="s">
        <v>2199</v>
      </c>
      <c r="B12" s="1753" t="s">
        <v>14</v>
      </c>
      <c r="C12" s="1753" t="s">
        <v>2242</v>
      </c>
      <c r="D12" s="1753" t="s">
        <v>2243</v>
      </c>
      <c r="E12" s="1753" t="s">
        <v>2244</v>
      </c>
      <c r="F12" s="1753" t="s">
        <v>2245</v>
      </c>
      <c r="G12" s="1753" t="s">
        <v>17</v>
      </c>
      <c r="H12" s="1753" t="s">
        <v>17</v>
      </c>
      <c r="I12" s="1753" t="s">
        <v>2246</v>
      </c>
      <c r="J12" t="s">
        <v>17</v>
      </c>
      <c r="K12" t="s">
        <v>871</v>
      </c>
      <c r="L12" t="s">
        <v>2247</v>
      </c>
      <c r="M12" t="s">
        <v>2248</v>
      </c>
      <c r="N12" t="s">
        <v>392</v>
      </c>
    </row>
    <row r="13" spans="1:14" ht="11.25" customHeight="1">
      <c r="A13" s="1753" t="s">
        <v>2199</v>
      </c>
      <c r="B13" s="1753" t="s">
        <v>14</v>
      </c>
      <c r="C13" s="1753" t="s">
        <v>2242</v>
      </c>
      <c r="D13" s="1753" t="s">
        <v>2243</v>
      </c>
      <c r="E13" s="1753" t="s">
        <v>2244</v>
      </c>
      <c r="F13" s="1753" t="s">
        <v>2245</v>
      </c>
      <c r="G13" s="1753" t="s">
        <v>17</v>
      </c>
      <c r="H13" s="1753" t="s">
        <v>17</v>
      </c>
      <c r="I13" s="1753" t="s">
        <v>2246</v>
      </c>
      <c r="J13" t="s">
        <v>17</v>
      </c>
      <c r="K13" t="s">
        <v>839</v>
      </c>
      <c r="L13" t="s">
        <v>2247</v>
      </c>
      <c r="M13" t="s">
        <v>2248</v>
      </c>
      <c r="N13" t="s">
        <v>392</v>
      </c>
    </row>
    <row r="14" spans="1:14" ht="11.25" customHeight="1">
      <c r="A14" s="1753" t="s">
        <v>2199</v>
      </c>
      <c r="B14" s="1753" t="s">
        <v>14</v>
      </c>
      <c r="C14" s="1753" t="s">
        <v>2242</v>
      </c>
      <c r="D14" s="1753" t="s">
        <v>2243</v>
      </c>
      <c r="E14" s="1753" t="s">
        <v>2244</v>
      </c>
      <c r="F14" s="1753" t="s">
        <v>2245</v>
      </c>
      <c r="G14" s="1753" t="s">
        <v>17</v>
      </c>
      <c r="H14" s="1753" t="s">
        <v>17</v>
      </c>
      <c r="I14" s="1753" t="s">
        <v>2246</v>
      </c>
      <c r="J14" t="s">
        <v>17</v>
      </c>
      <c r="K14" t="s">
        <v>2249</v>
      </c>
      <c r="L14" t="s">
        <v>2250</v>
      </c>
      <c r="M14" t="s">
        <v>2251</v>
      </c>
      <c r="N14" t="s">
        <v>392</v>
      </c>
    </row>
    <row r="15" spans="1:14" ht="11.25" customHeight="1">
      <c r="A15" s="1753" t="s">
        <v>2199</v>
      </c>
      <c r="B15" s="1753" t="s">
        <v>14</v>
      </c>
      <c r="C15" s="1753" t="s">
        <v>2252</v>
      </c>
      <c r="D15" s="1753" t="s">
        <v>2253</v>
      </c>
      <c r="E15" s="1753" t="s">
        <v>2254</v>
      </c>
      <c r="F15" s="1753" t="s">
        <v>2255</v>
      </c>
      <c r="G15" s="1753" t="s">
        <v>17</v>
      </c>
      <c r="H15" s="1753" t="s">
        <v>17</v>
      </c>
      <c r="I15" s="1753" t="s">
        <v>2246</v>
      </c>
      <c r="J15" t="s">
        <v>17</v>
      </c>
      <c r="K15" t="s">
        <v>871</v>
      </c>
      <c r="L15" t="s">
        <v>2207</v>
      </c>
      <c r="M15" t="s">
        <v>2208</v>
      </c>
      <c r="N15" t="s">
        <v>392</v>
      </c>
    </row>
    <row r="16" spans="1:14" ht="11.25" customHeight="1">
      <c r="A16" s="1753" t="s">
        <v>2199</v>
      </c>
      <c r="B16" s="1753" t="s">
        <v>14</v>
      </c>
      <c r="C16" s="1753" t="s">
        <v>2256</v>
      </c>
      <c r="D16" s="1753" t="s">
        <v>2257</v>
      </c>
      <c r="E16" s="1753" t="s">
        <v>2258</v>
      </c>
      <c r="F16" s="1753" t="s">
        <v>2259</v>
      </c>
      <c r="G16" s="1753" t="s">
        <v>17</v>
      </c>
      <c r="H16" s="1753" t="s">
        <v>17</v>
      </c>
      <c r="I16" s="1753" t="s">
        <v>2260</v>
      </c>
      <c r="J16" t="s">
        <v>17</v>
      </c>
      <c r="K16" t="s">
        <v>871</v>
      </c>
      <c r="L16" t="s">
        <v>2207</v>
      </c>
      <c r="M16" t="s">
        <v>2208</v>
      </c>
      <c r="N16" t="s">
        <v>392</v>
      </c>
    </row>
    <row r="17" spans="1:14" ht="11.25" customHeight="1">
      <c r="A17" s="1753" t="s">
        <v>2199</v>
      </c>
      <c r="B17" s="1753" t="s">
        <v>14</v>
      </c>
      <c r="C17" s="1753" t="s">
        <v>2261</v>
      </c>
      <c r="D17" s="1753" t="s">
        <v>2262</v>
      </c>
      <c r="E17" s="1753" t="s">
        <v>2263</v>
      </c>
      <c r="F17" s="1753" t="s">
        <v>2264</v>
      </c>
      <c r="G17" s="1753" t="s">
        <v>17</v>
      </c>
      <c r="H17" s="1753" t="s">
        <v>17</v>
      </c>
      <c r="I17" s="1753" t="s">
        <v>2214</v>
      </c>
      <c r="J17" t="s">
        <v>17</v>
      </c>
      <c r="K17" t="s">
        <v>871</v>
      </c>
      <c r="L17" t="s">
        <v>2207</v>
      </c>
      <c r="M17" t="s">
        <v>2208</v>
      </c>
      <c r="N17" t="s">
        <v>392</v>
      </c>
    </row>
    <row r="18" spans="1:14" ht="11.25" customHeight="1">
      <c r="A18" s="1753" t="s">
        <v>2199</v>
      </c>
      <c r="B18" s="1753" t="s">
        <v>14</v>
      </c>
      <c r="C18" s="1753" t="s">
        <v>2265</v>
      </c>
      <c r="D18" s="1753" t="s">
        <v>2266</v>
      </c>
      <c r="E18" s="1753" t="s">
        <v>2267</v>
      </c>
      <c r="F18" s="1753" t="s">
        <v>2268</v>
      </c>
      <c r="G18" s="1753" t="s">
        <v>17</v>
      </c>
      <c r="H18" s="1753" t="s">
        <v>17</v>
      </c>
      <c r="I18" s="1753" t="s">
        <v>2269</v>
      </c>
      <c r="J18" t="s">
        <v>17</v>
      </c>
      <c r="K18" t="s">
        <v>871</v>
      </c>
      <c r="L18" t="s">
        <v>2207</v>
      </c>
      <c r="M18" t="s">
        <v>2208</v>
      </c>
      <c r="N18" t="s">
        <v>392</v>
      </c>
    </row>
    <row r="19" spans="1:14" ht="11.25" customHeight="1">
      <c r="A19" s="1753" t="s">
        <v>2199</v>
      </c>
      <c r="B19" s="1753" t="s">
        <v>14</v>
      </c>
      <c r="C19" s="1753" t="s">
        <v>2270</v>
      </c>
      <c r="D19" s="1753" t="s">
        <v>2271</v>
      </c>
      <c r="E19" s="1753" t="s">
        <v>2272</v>
      </c>
      <c r="F19" s="1753" t="s">
        <v>2273</v>
      </c>
      <c r="G19" s="1753" t="s">
        <v>17</v>
      </c>
      <c r="H19" s="1753" t="s">
        <v>17</v>
      </c>
      <c r="I19" s="1753" t="s">
        <v>2274</v>
      </c>
      <c r="J19" t="s">
        <v>17</v>
      </c>
      <c r="K19" t="s">
        <v>871</v>
      </c>
      <c r="L19" t="s">
        <v>2207</v>
      </c>
      <c r="M19" t="s">
        <v>2208</v>
      </c>
      <c r="N19" t="s">
        <v>392</v>
      </c>
    </row>
    <row r="20" spans="1:14" ht="11.25" customHeight="1">
      <c r="A20" s="1753" t="s">
        <v>2199</v>
      </c>
      <c r="B20" s="1753" t="s">
        <v>14</v>
      </c>
      <c r="C20" s="1753" t="s">
        <v>2275</v>
      </c>
      <c r="D20" s="1753" t="s">
        <v>2276</v>
      </c>
      <c r="E20" s="1753" t="s">
        <v>2277</v>
      </c>
      <c r="F20" s="1753" t="s">
        <v>2213</v>
      </c>
      <c r="G20" s="1753" t="s">
        <v>2278</v>
      </c>
      <c r="H20" s="1753" t="s">
        <v>17</v>
      </c>
      <c r="I20" s="1753" t="s">
        <v>2278</v>
      </c>
      <c r="J20" t="s">
        <v>17</v>
      </c>
      <c r="K20" t="s">
        <v>871</v>
      </c>
      <c r="L20" t="s">
        <v>2207</v>
      </c>
      <c r="M20" t="s">
        <v>2208</v>
      </c>
      <c r="N20" t="s">
        <v>392</v>
      </c>
    </row>
    <row r="21" spans="1:14" ht="11.25" customHeight="1">
      <c r="A21" s="1753" t="s">
        <v>2199</v>
      </c>
      <c r="B21" s="1753" t="s">
        <v>14</v>
      </c>
      <c r="C21" s="1753" t="s">
        <v>2279</v>
      </c>
      <c r="D21" s="1753" t="s">
        <v>2280</v>
      </c>
      <c r="E21" s="1753" t="s">
        <v>2281</v>
      </c>
      <c r="F21" s="1753" t="s">
        <v>2223</v>
      </c>
      <c r="G21" s="1753" t="s">
        <v>2282</v>
      </c>
      <c r="H21" s="1753" t="s">
        <v>17</v>
      </c>
      <c r="I21" s="1753" t="s">
        <v>2282</v>
      </c>
      <c r="J21" t="s">
        <v>17</v>
      </c>
      <c r="K21" t="s">
        <v>896</v>
      </c>
      <c r="L21" t="s">
        <v>2283</v>
      </c>
      <c r="M21" t="s">
        <v>2284</v>
      </c>
      <c r="N21" t="s">
        <v>392</v>
      </c>
    </row>
    <row r="22" spans="1:14" ht="11.25" customHeight="1">
      <c r="A22" s="1753" t="s">
        <v>2199</v>
      </c>
      <c r="B22" s="1753" t="s">
        <v>14</v>
      </c>
      <c r="C22" s="1753" t="s">
        <v>2285</v>
      </c>
      <c r="D22" s="1753" t="s">
        <v>2286</v>
      </c>
      <c r="E22" s="1753" t="s">
        <v>2287</v>
      </c>
      <c r="F22" s="1753" t="s">
        <v>2213</v>
      </c>
      <c r="G22" s="1753" t="s">
        <v>17</v>
      </c>
      <c r="H22" s="1753" t="s">
        <v>17</v>
      </c>
      <c r="I22" s="1753" t="s">
        <v>2214</v>
      </c>
      <c r="J22" t="s">
        <v>17</v>
      </c>
      <c r="K22" t="s">
        <v>871</v>
      </c>
      <c r="L22" t="s">
        <v>2207</v>
      </c>
      <c r="M22" t="s">
        <v>2208</v>
      </c>
      <c r="N22" t="s">
        <v>392</v>
      </c>
    </row>
    <row r="23" spans="1:14" ht="11.25" customHeight="1">
      <c r="A23" s="1753" t="s">
        <v>2199</v>
      </c>
      <c r="B23" s="1753" t="s">
        <v>14</v>
      </c>
      <c r="C23" s="1753" t="s">
        <v>2288</v>
      </c>
      <c r="D23" s="1753" t="s">
        <v>2289</v>
      </c>
      <c r="E23" s="1753" t="s">
        <v>2290</v>
      </c>
      <c r="F23" s="1753" t="s">
        <v>50</v>
      </c>
      <c r="G23" s="1753" t="s">
        <v>17</v>
      </c>
      <c r="H23" s="1753" t="s">
        <v>17</v>
      </c>
      <c r="I23" s="1753" t="s">
        <v>2214</v>
      </c>
      <c r="J23" t="s">
        <v>17</v>
      </c>
      <c r="K23" t="s">
        <v>871</v>
      </c>
      <c r="L23" t="s">
        <v>2207</v>
      </c>
      <c r="M23" t="s">
        <v>2208</v>
      </c>
      <c r="N23" t="s">
        <v>392</v>
      </c>
    </row>
    <row r="24" spans="1:14" ht="11.25" customHeight="1">
      <c r="A24" s="1753" t="s">
        <v>2199</v>
      </c>
      <c r="B24" s="1753" t="s">
        <v>14</v>
      </c>
      <c r="C24" s="1753" t="s">
        <v>2291</v>
      </c>
      <c r="D24" s="1753" t="s">
        <v>2292</v>
      </c>
      <c r="E24" s="1753" t="s">
        <v>2293</v>
      </c>
      <c r="F24" s="1753" t="s">
        <v>2264</v>
      </c>
      <c r="G24" s="1753" t="s">
        <v>17</v>
      </c>
      <c r="H24" s="1753" t="s">
        <v>17</v>
      </c>
      <c r="I24" s="1753" t="s">
        <v>2214</v>
      </c>
      <c r="J24" t="s">
        <v>17</v>
      </c>
      <c r="K24" t="s">
        <v>871</v>
      </c>
      <c r="L24" t="s">
        <v>2207</v>
      </c>
      <c r="M24" t="s">
        <v>2208</v>
      </c>
      <c r="N24" t="s">
        <v>392</v>
      </c>
    </row>
    <row r="25" spans="1:14" ht="11.25" customHeight="1">
      <c r="A25" s="1753" t="s">
        <v>2199</v>
      </c>
      <c r="B25" s="1753" t="s">
        <v>14</v>
      </c>
      <c r="C25" s="1753" t="s">
        <v>2294</v>
      </c>
      <c r="D25" s="1753" t="s">
        <v>2295</v>
      </c>
      <c r="E25" s="1753" t="s">
        <v>2296</v>
      </c>
      <c r="F25" s="1753" t="s">
        <v>2213</v>
      </c>
      <c r="G25" s="1753" t="s">
        <v>17</v>
      </c>
      <c r="H25" s="1753" t="s">
        <v>17</v>
      </c>
      <c r="I25" s="1753" t="s">
        <v>2297</v>
      </c>
      <c r="J25" t="s">
        <v>17</v>
      </c>
      <c r="K25" t="s">
        <v>871</v>
      </c>
      <c r="L25" t="s">
        <v>2207</v>
      </c>
      <c r="M25" t="s">
        <v>2208</v>
      </c>
      <c r="N25" t="s">
        <v>392</v>
      </c>
    </row>
    <row r="26" spans="1:14" ht="11.25" customHeight="1">
      <c r="A26" s="1753" t="s">
        <v>2199</v>
      </c>
      <c r="B26" s="1753" t="s">
        <v>14</v>
      </c>
      <c r="C26" s="1753" t="s">
        <v>2298</v>
      </c>
      <c r="D26" s="1753" t="s">
        <v>2299</v>
      </c>
      <c r="E26" s="1753" t="s">
        <v>2300</v>
      </c>
      <c r="F26" s="1753" t="s">
        <v>2301</v>
      </c>
      <c r="G26" s="1753" t="s">
        <v>17</v>
      </c>
      <c r="H26" s="1753" t="s">
        <v>17</v>
      </c>
      <c r="I26" s="1753" t="s">
        <v>2302</v>
      </c>
      <c r="J26" t="s">
        <v>17</v>
      </c>
      <c r="K26" t="s">
        <v>915</v>
      </c>
      <c r="L26" t="s">
        <v>2240</v>
      </c>
      <c r="M26" t="s">
        <v>2241</v>
      </c>
      <c r="N26" t="s">
        <v>392</v>
      </c>
    </row>
    <row r="27" spans="1:14" ht="11.25" customHeight="1">
      <c r="A27" s="1753" t="s">
        <v>2199</v>
      </c>
      <c r="B27" s="1753" t="s">
        <v>14</v>
      </c>
      <c r="C27" s="1753" t="s">
        <v>2303</v>
      </c>
      <c r="D27" s="1753" t="s">
        <v>2304</v>
      </c>
      <c r="E27" s="1753" t="s">
        <v>2305</v>
      </c>
      <c r="F27" s="1753" t="s">
        <v>2306</v>
      </c>
      <c r="G27" s="1753" t="s">
        <v>17</v>
      </c>
      <c r="H27" s="1753" t="s">
        <v>17</v>
      </c>
      <c r="I27" s="1753" t="s">
        <v>2307</v>
      </c>
      <c r="J27" t="s">
        <v>17</v>
      </c>
      <c r="K27" t="s">
        <v>871</v>
      </c>
      <c r="L27" t="s">
        <v>2207</v>
      </c>
      <c r="M27" t="s">
        <v>2208</v>
      </c>
      <c r="N27" t="s">
        <v>392</v>
      </c>
    </row>
    <row r="28" spans="1:14" ht="11.25" customHeight="1">
      <c r="A28" s="1753" t="s">
        <v>2199</v>
      </c>
      <c r="B28" s="1753" t="s">
        <v>14</v>
      </c>
      <c r="C28" s="1753" t="s">
        <v>2308</v>
      </c>
      <c r="D28" s="1753" t="s">
        <v>2309</v>
      </c>
      <c r="E28" s="1753" t="s">
        <v>2310</v>
      </c>
      <c r="F28" s="1753" t="s">
        <v>2213</v>
      </c>
      <c r="G28" s="1753" t="s">
        <v>17</v>
      </c>
      <c r="H28" s="1753" t="s">
        <v>17</v>
      </c>
      <c r="I28" s="1753" t="s">
        <v>2214</v>
      </c>
      <c r="J28" t="s">
        <v>17</v>
      </c>
      <c r="K28" t="s">
        <v>871</v>
      </c>
      <c r="L28" t="s">
        <v>2207</v>
      </c>
      <c r="M28" t="s">
        <v>2208</v>
      </c>
      <c r="N28" t="s">
        <v>392</v>
      </c>
    </row>
    <row r="29" spans="1:14" ht="11.25" customHeight="1">
      <c r="A29" s="1753" t="s">
        <v>2199</v>
      </c>
      <c r="B29" s="1753" t="s">
        <v>14</v>
      </c>
      <c r="C29" s="1753" t="s">
        <v>2311</v>
      </c>
      <c r="D29" s="1753" t="s">
        <v>2312</v>
      </c>
      <c r="E29" s="1753" t="s">
        <v>2313</v>
      </c>
      <c r="F29" s="1753" t="s">
        <v>2314</v>
      </c>
      <c r="G29" s="1753" t="s">
        <v>2315</v>
      </c>
      <c r="H29" s="1753" t="s">
        <v>17</v>
      </c>
      <c r="I29" s="1753" t="s">
        <v>2315</v>
      </c>
      <c r="J29" t="s">
        <v>17</v>
      </c>
      <c r="K29" t="s">
        <v>871</v>
      </c>
      <c r="L29" t="s">
        <v>2207</v>
      </c>
      <c r="M29" t="s">
        <v>2208</v>
      </c>
      <c r="N29" t="s">
        <v>392</v>
      </c>
    </row>
    <row r="30" spans="1:14" ht="11.25" customHeight="1">
      <c r="A30" s="1753" t="s">
        <v>2199</v>
      </c>
      <c r="B30" s="1753" t="s">
        <v>14</v>
      </c>
      <c r="C30" s="1753" t="s">
        <v>2316</v>
      </c>
      <c r="D30" s="1753" t="s">
        <v>2317</v>
      </c>
      <c r="E30" s="1753" t="s">
        <v>2318</v>
      </c>
      <c r="F30" s="1753" t="s">
        <v>2319</v>
      </c>
      <c r="G30" s="1753" t="s">
        <v>17</v>
      </c>
      <c r="H30" s="1753" t="s">
        <v>17</v>
      </c>
      <c r="I30" s="1753" t="s">
        <v>2246</v>
      </c>
      <c r="J30" t="s">
        <v>17</v>
      </c>
      <c r="K30" t="s">
        <v>803</v>
      </c>
      <c r="L30" t="s">
        <v>2320</v>
      </c>
      <c r="M30" t="s">
        <v>2321</v>
      </c>
      <c r="N30" t="s">
        <v>392</v>
      </c>
    </row>
    <row r="31" spans="1:14" ht="11.25" customHeight="1">
      <c r="A31" s="1753" t="s">
        <v>2199</v>
      </c>
      <c r="B31" s="1753" t="s">
        <v>14</v>
      </c>
      <c r="C31" s="1753" t="s">
        <v>2316</v>
      </c>
      <c r="D31" s="1753" t="s">
        <v>2317</v>
      </c>
      <c r="E31" s="1753" t="s">
        <v>2318</v>
      </c>
      <c r="F31" s="1753" t="s">
        <v>2319</v>
      </c>
      <c r="G31" s="1753" t="s">
        <v>17</v>
      </c>
      <c r="H31" s="1753" t="s">
        <v>17</v>
      </c>
      <c r="I31" s="1753" t="s">
        <v>2246</v>
      </c>
      <c r="J31" t="s">
        <v>17</v>
      </c>
      <c r="K31" t="s">
        <v>896</v>
      </c>
      <c r="L31" t="s">
        <v>2320</v>
      </c>
      <c r="M31" t="s">
        <v>2321</v>
      </c>
      <c r="N31" t="s">
        <v>392</v>
      </c>
    </row>
    <row r="32" spans="1:14" ht="11.25" customHeight="1">
      <c r="A32" s="1753" t="s">
        <v>2199</v>
      </c>
      <c r="B32" s="1753" t="s">
        <v>14</v>
      </c>
      <c r="C32" s="1753" t="s">
        <v>2316</v>
      </c>
      <c r="D32" s="1753" t="s">
        <v>2317</v>
      </c>
      <c r="E32" s="1753" t="s">
        <v>2318</v>
      </c>
      <c r="F32" s="1753" t="s">
        <v>2319</v>
      </c>
      <c r="G32" s="1753" t="s">
        <v>17</v>
      </c>
      <c r="H32" s="1753" t="s">
        <v>17</v>
      </c>
      <c r="I32" s="1753" t="s">
        <v>2246</v>
      </c>
      <c r="J32" t="s">
        <v>17</v>
      </c>
      <c r="K32" t="s">
        <v>839</v>
      </c>
      <c r="L32" t="s">
        <v>2320</v>
      </c>
      <c r="M32" t="s">
        <v>2321</v>
      </c>
      <c r="N32" t="s">
        <v>392</v>
      </c>
    </row>
    <row r="33" spans="1:14" ht="11.25" customHeight="1">
      <c r="A33" s="1753" t="s">
        <v>2199</v>
      </c>
      <c r="B33" s="1753" t="s">
        <v>14</v>
      </c>
      <c r="C33" s="1753" t="s">
        <v>2322</v>
      </c>
      <c r="D33" s="1753" t="s">
        <v>2323</v>
      </c>
      <c r="E33" s="1753" t="s">
        <v>2318</v>
      </c>
      <c r="F33" s="1753" t="s">
        <v>2324</v>
      </c>
      <c r="G33" s="1753" t="s">
        <v>17</v>
      </c>
      <c r="H33" s="1753" t="s">
        <v>17</v>
      </c>
      <c r="I33" s="1753" t="s">
        <v>2325</v>
      </c>
      <c r="J33" t="s">
        <v>17</v>
      </c>
      <c r="K33" t="s">
        <v>871</v>
      </c>
      <c r="L33" t="s">
        <v>2207</v>
      </c>
      <c r="M33" t="s">
        <v>2208</v>
      </c>
      <c r="N33" t="s">
        <v>392</v>
      </c>
    </row>
    <row r="34" spans="1:14" ht="11.25" customHeight="1">
      <c r="A34" s="1753" t="s">
        <v>2199</v>
      </c>
      <c r="B34" s="1753" t="s">
        <v>14</v>
      </c>
      <c r="C34" s="1753" t="s">
        <v>2322</v>
      </c>
      <c r="D34" s="1753" t="s">
        <v>2323</v>
      </c>
      <c r="E34" s="1753" t="s">
        <v>2318</v>
      </c>
      <c r="F34" s="1753" t="s">
        <v>2324</v>
      </c>
      <c r="G34" s="1753" t="s">
        <v>17</v>
      </c>
      <c r="H34" s="1753" t="s">
        <v>17</v>
      </c>
      <c r="I34" s="1753" t="s">
        <v>2326</v>
      </c>
      <c r="J34" t="s">
        <v>17</v>
      </c>
      <c r="K34" t="s">
        <v>871</v>
      </c>
      <c r="L34" t="s">
        <v>2207</v>
      </c>
      <c r="M34" t="s">
        <v>2208</v>
      </c>
      <c r="N34" t="s">
        <v>392</v>
      </c>
    </row>
    <row r="35" spans="1:14" ht="11.25" customHeight="1">
      <c r="A35" s="1753" t="s">
        <v>2199</v>
      </c>
      <c r="B35" s="1753" t="s">
        <v>14</v>
      </c>
      <c r="C35" s="1753" t="s">
        <v>2322</v>
      </c>
      <c r="D35" s="1753" t="s">
        <v>2323</v>
      </c>
      <c r="E35" s="1753" t="s">
        <v>2318</v>
      </c>
      <c r="F35" s="1753" t="s">
        <v>2324</v>
      </c>
      <c r="G35" s="1753" t="s">
        <v>17</v>
      </c>
      <c r="H35" s="1753" t="s">
        <v>17</v>
      </c>
      <c r="I35" s="1753" t="s">
        <v>2246</v>
      </c>
      <c r="J35" t="s">
        <v>17</v>
      </c>
      <c r="K35" t="s">
        <v>871</v>
      </c>
      <c r="L35" t="s">
        <v>2207</v>
      </c>
      <c r="M35" t="s">
        <v>2208</v>
      </c>
      <c r="N35" t="s">
        <v>392</v>
      </c>
    </row>
    <row r="36" spans="1:14" ht="11.25" customHeight="1">
      <c r="A36" s="1753" t="s">
        <v>2199</v>
      </c>
      <c r="B36" s="1753" t="s">
        <v>14</v>
      </c>
      <c r="C36" s="1753" t="s">
        <v>2327</v>
      </c>
      <c r="D36" s="1753" t="s">
        <v>2328</v>
      </c>
      <c r="E36" s="1753" t="s">
        <v>2318</v>
      </c>
      <c r="F36" s="1753" t="s">
        <v>2329</v>
      </c>
      <c r="G36" s="1753" t="s">
        <v>17</v>
      </c>
      <c r="H36" s="1753" t="s">
        <v>17</v>
      </c>
      <c r="I36" s="1753" t="s">
        <v>2330</v>
      </c>
      <c r="J36" t="s">
        <v>17</v>
      </c>
      <c r="K36" t="s">
        <v>871</v>
      </c>
      <c r="L36" t="s">
        <v>2207</v>
      </c>
      <c r="M36" t="s">
        <v>2208</v>
      </c>
      <c r="N36" t="s">
        <v>392</v>
      </c>
    </row>
    <row r="37" spans="1:14" ht="11.25" customHeight="1">
      <c r="A37" s="1753" t="s">
        <v>2199</v>
      </c>
      <c r="B37" s="1753" t="s">
        <v>14</v>
      </c>
      <c r="C37" s="1753" t="s">
        <v>2331</v>
      </c>
      <c r="D37" s="1753" t="s">
        <v>2332</v>
      </c>
      <c r="E37" s="1753" t="s">
        <v>2318</v>
      </c>
      <c r="F37" s="1753" t="s">
        <v>2333</v>
      </c>
      <c r="G37" s="1753" t="s">
        <v>17</v>
      </c>
      <c r="H37" s="1753" t="s">
        <v>17</v>
      </c>
      <c r="I37" s="1753" t="s">
        <v>2330</v>
      </c>
      <c r="J37" t="s">
        <v>17</v>
      </c>
      <c r="K37" t="s">
        <v>871</v>
      </c>
      <c r="L37" t="s">
        <v>2207</v>
      </c>
      <c r="M37" t="s">
        <v>2208</v>
      </c>
      <c r="N37" t="s">
        <v>392</v>
      </c>
    </row>
    <row r="38" spans="1:14" ht="11.25" customHeight="1">
      <c r="A38" s="1753" t="s">
        <v>2199</v>
      </c>
      <c r="B38" s="1753" t="s">
        <v>14</v>
      </c>
      <c r="C38" s="1753" t="s">
        <v>2334</v>
      </c>
      <c r="D38" s="1753" t="s">
        <v>2335</v>
      </c>
      <c r="E38" s="1753" t="s">
        <v>2318</v>
      </c>
      <c r="F38" s="1753" t="s">
        <v>2336</v>
      </c>
      <c r="G38" s="1753" t="s">
        <v>17</v>
      </c>
      <c r="H38" s="1753" t="s">
        <v>17</v>
      </c>
      <c r="I38" s="1753" t="s">
        <v>2337</v>
      </c>
      <c r="J38" t="s">
        <v>17</v>
      </c>
      <c r="K38" t="s">
        <v>871</v>
      </c>
      <c r="L38" t="s">
        <v>2207</v>
      </c>
      <c r="M38" t="s">
        <v>2208</v>
      </c>
      <c r="N38" t="s">
        <v>392</v>
      </c>
    </row>
    <row r="39" spans="1:14" ht="11.25" customHeight="1">
      <c r="A39" s="1753" t="s">
        <v>2199</v>
      </c>
      <c r="B39" s="1753" t="s">
        <v>14</v>
      </c>
      <c r="C39" s="1753" t="s">
        <v>2338</v>
      </c>
      <c r="D39" s="1753" t="s">
        <v>2339</v>
      </c>
      <c r="E39" s="1753" t="s">
        <v>2318</v>
      </c>
      <c r="F39" s="1753" t="s">
        <v>2340</v>
      </c>
      <c r="G39" s="1753" t="s">
        <v>17</v>
      </c>
      <c r="H39" s="1753" t="s">
        <v>17</v>
      </c>
      <c r="I39" s="1753" t="s">
        <v>2330</v>
      </c>
      <c r="J39" t="s">
        <v>17</v>
      </c>
      <c r="K39" t="s">
        <v>915</v>
      </c>
      <c r="L39" t="s">
        <v>2240</v>
      </c>
      <c r="M39" t="s">
        <v>2241</v>
      </c>
      <c r="N39" t="s">
        <v>392</v>
      </c>
    </row>
    <row r="40" spans="1:14" ht="11.25" customHeight="1">
      <c r="A40" s="1753" t="s">
        <v>2199</v>
      </c>
      <c r="B40" s="1753" t="s">
        <v>14</v>
      </c>
      <c r="C40" s="1753" t="s">
        <v>2341</v>
      </c>
      <c r="D40" s="1753" t="s">
        <v>2342</v>
      </c>
      <c r="E40" s="1753" t="s">
        <v>2318</v>
      </c>
      <c r="F40" s="1753" t="s">
        <v>2343</v>
      </c>
      <c r="G40" s="1753" t="s">
        <v>17</v>
      </c>
      <c r="H40" s="1753" t="s">
        <v>17</v>
      </c>
      <c r="I40" s="1753" t="s">
        <v>2344</v>
      </c>
      <c r="J40" t="s">
        <v>17</v>
      </c>
      <c r="K40" t="s">
        <v>871</v>
      </c>
      <c r="L40" t="s">
        <v>2207</v>
      </c>
      <c r="M40" t="s">
        <v>2208</v>
      </c>
      <c r="N40" t="s">
        <v>392</v>
      </c>
    </row>
    <row r="41" spans="1:14" ht="11.25" customHeight="1">
      <c r="A41" s="1753" t="s">
        <v>2199</v>
      </c>
      <c r="B41" s="1753" t="s">
        <v>14</v>
      </c>
      <c r="C41" s="1753" t="s">
        <v>2345</v>
      </c>
      <c r="D41" s="1753" t="s">
        <v>2346</v>
      </c>
      <c r="E41" s="1753" t="s">
        <v>2347</v>
      </c>
      <c r="F41" s="1753" t="s">
        <v>2213</v>
      </c>
      <c r="G41" s="1753" t="s">
        <v>17</v>
      </c>
      <c r="H41" s="1753" t="s">
        <v>17</v>
      </c>
      <c r="I41" s="1753" t="s">
        <v>2214</v>
      </c>
      <c r="J41" t="s">
        <v>17</v>
      </c>
      <c r="K41" t="s">
        <v>871</v>
      </c>
      <c r="L41" t="s">
        <v>2207</v>
      </c>
      <c r="M41" t="s">
        <v>2208</v>
      </c>
      <c r="N41" t="s">
        <v>392</v>
      </c>
    </row>
    <row r="42" spans="1:14" ht="11.25" customHeight="1">
      <c r="A42" s="1753" t="s">
        <v>2199</v>
      </c>
      <c r="B42" s="1753" t="s">
        <v>14</v>
      </c>
      <c r="C42" s="1753" t="s">
        <v>2348</v>
      </c>
      <c r="D42" s="1753" t="s">
        <v>2349</v>
      </c>
      <c r="E42" s="1753" t="s">
        <v>2350</v>
      </c>
      <c r="F42" s="1753" t="s">
        <v>2351</v>
      </c>
      <c r="G42" s="1753" t="s">
        <v>17</v>
      </c>
      <c r="H42" s="1753" t="s">
        <v>17</v>
      </c>
      <c r="I42" s="1753" t="s">
        <v>2297</v>
      </c>
      <c r="J42" t="s">
        <v>17</v>
      </c>
      <c r="K42" t="s">
        <v>839</v>
      </c>
      <c r="L42" t="s">
        <v>2352</v>
      </c>
      <c r="M42" t="s">
        <v>2353</v>
      </c>
      <c r="N42" t="s">
        <v>392</v>
      </c>
    </row>
    <row r="43" spans="1:14" ht="11.25" customHeight="1">
      <c r="A43" s="1753" t="s">
        <v>2199</v>
      </c>
      <c r="B43" s="1753" t="s">
        <v>14</v>
      </c>
      <c r="C43" s="1753" t="s">
        <v>2348</v>
      </c>
      <c r="D43" s="1753" t="s">
        <v>2349</v>
      </c>
      <c r="E43" s="1753" t="s">
        <v>2350</v>
      </c>
      <c r="F43" s="1753" t="s">
        <v>2351</v>
      </c>
      <c r="G43" s="1753" t="s">
        <v>17</v>
      </c>
      <c r="H43" s="1753" t="s">
        <v>17</v>
      </c>
      <c r="I43" s="1753" t="s">
        <v>2354</v>
      </c>
      <c r="J43" t="s">
        <v>17</v>
      </c>
      <c r="K43" t="s">
        <v>2249</v>
      </c>
      <c r="L43" t="s">
        <v>2250</v>
      </c>
      <c r="M43" t="s">
        <v>2251</v>
      </c>
      <c r="N43" t="s">
        <v>392</v>
      </c>
    </row>
    <row r="44" spans="1:14" ht="11.25" customHeight="1">
      <c r="A44" s="1753" t="s">
        <v>2199</v>
      </c>
      <c r="B44" s="1753" t="s">
        <v>14</v>
      </c>
      <c r="C44" s="1753" t="s">
        <v>2355</v>
      </c>
      <c r="D44" s="1753" t="s">
        <v>2356</v>
      </c>
      <c r="E44" s="1753" t="s">
        <v>2357</v>
      </c>
      <c r="F44" s="1753" t="s">
        <v>2218</v>
      </c>
      <c r="G44" s="1753" t="s">
        <v>17</v>
      </c>
      <c r="H44" s="1753" t="s">
        <v>17</v>
      </c>
      <c r="I44" s="1753" t="s">
        <v>2358</v>
      </c>
      <c r="J44" t="s">
        <v>17</v>
      </c>
      <c r="K44" t="s">
        <v>871</v>
      </c>
      <c r="L44" t="s">
        <v>2207</v>
      </c>
      <c r="M44" t="s">
        <v>2208</v>
      </c>
      <c r="N44" t="s">
        <v>392</v>
      </c>
    </row>
    <row r="45" spans="1:14" ht="11.25" customHeight="1">
      <c r="A45" s="1753" t="s">
        <v>2199</v>
      </c>
      <c r="B45" s="1753" t="s">
        <v>14</v>
      </c>
      <c r="C45" s="1753" t="s">
        <v>2359</v>
      </c>
      <c r="D45" s="1753" t="s">
        <v>2360</v>
      </c>
      <c r="E45" s="1753" t="s">
        <v>2361</v>
      </c>
      <c r="F45" s="1753" t="s">
        <v>2351</v>
      </c>
      <c r="G45" s="1753" t="s">
        <v>17</v>
      </c>
      <c r="H45" s="1753" t="s">
        <v>17</v>
      </c>
      <c r="I45" s="1753" t="s">
        <v>2297</v>
      </c>
      <c r="J45" t="s">
        <v>17</v>
      </c>
      <c r="K45" t="s">
        <v>871</v>
      </c>
      <c r="L45" t="s">
        <v>2207</v>
      </c>
      <c r="M45" t="s">
        <v>2208</v>
      </c>
      <c r="N45" t="s">
        <v>392</v>
      </c>
    </row>
    <row r="46" spans="1:14" ht="11.25" customHeight="1">
      <c r="A46" s="1753" t="s">
        <v>2199</v>
      </c>
      <c r="B46" s="1753" t="s">
        <v>14</v>
      </c>
      <c r="C46" s="1753" t="s">
        <v>2359</v>
      </c>
      <c r="D46" s="1753" t="s">
        <v>2360</v>
      </c>
      <c r="E46" s="1753" t="s">
        <v>2361</v>
      </c>
      <c r="F46" s="1753" t="s">
        <v>2351</v>
      </c>
      <c r="G46" s="1753" t="s">
        <v>17</v>
      </c>
      <c r="H46" s="1753" t="s">
        <v>17</v>
      </c>
      <c r="I46" s="1753" t="s">
        <v>2354</v>
      </c>
      <c r="J46" t="s">
        <v>17</v>
      </c>
      <c r="K46" t="s">
        <v>2249</v>
      </c>
      <c r="L46" t="s">
        <v>2250</v>
      </c>
      <c r="M46" t="s">
        <v>2251</v>
      </c>
      <c r="N46" t="s">
        <v>392</v>
      </c>
    </row>
    <row r="47" spans="1:14" ht="11.25" customHeight="1">
      <c r="A47" s="1753" t="s">
        <v>2199</v>
      </c>
      <c r="B47" s="1753" t="s">
        <v>14</v>
      </c>
      <c r="C47" s="1753" t="s">
        <v>2362</v>
      </c>
      <c r="D47" s="1753" t="s">
        <v>2363</v>
      </c>
      <c r="E47" s="1753" t="s">
        <v>2364</v>
      </c>
      <c r="F47" s="1753" t="s">
        <v>2213</v>
      </c>
      <c r="G47" s="1753" t="s">
        <v>17</v>
      </c>
      <c r="H47" s="1753" t="s">
        <v>17</v>
      </c>
      <c r="I47" s="1753" t="s">
        <v>2214</v>
      </c>
      <c r="J47" t="s">
        <v>17</v>
      </c>
      <c r="K47" t="s">
        <v>871</v>
      </c>
      <c r="L47" t="s">
        <v>2207</v>
      </c>
      <c r="M47" t="s">
        <v>2208</v>
      </c>
      <c r="N47" t="s">
        <v>392</v>
      </c>
    </row>
    <row r="48" spans="1:14" ht="11.25" customHeight="1">
      <c r="A48" s="1753" t="s">
        <v>2199</v>
      </c>
      <c r="B48" s="1753" t="s">
        <v>14</v>
      </c>
      <c r="C48" s="1753" t="s">
        <v>2362</v>
      </c>
      <c r="D48" s="1753" t="s">
        <v>2363</v>
      </c>
      <c r="E48" s="1753" t="s">
        <v>2364</v>
      </c>
      <c r="F48" s="1753" t="s">
        <v>2213</v>
      </c>
      <c r="G48" s="1753" t="s">
        <v>17</v>
      </c>
      <c r="H48" s="1753" t="s">
        <v>17</v>
      </c>
      <c r="I48" s="1753" t="s">
        <v>2365</v>
      </c>
      <c r="J48" t="s">
        <v>17</v>
      </c>
      <c r="K48" t="s">
        <v>871</v>
      </c>
      <c r="L48" t="s">
        <v>2207</v>
      </c>
      <c r="M48" t="s">
        <v>2208</v>
      </c>
      <c r="N48" t="s">
        <v>392</v>
      </c>
    </row>
    <row r="49" spans="1:14" ht="11.25" customHeight="1">
      <c r="A49" s="1753" t="s">
        <v>2199</v>
      </c>
      <c r="B49" s="1753" t="s">
        <v>14</v>
      </c>
      <c r="C49" s="1753" t="s">
        <v>2362</v>
      </c>
      <c r="D49" s="1753" t="s">
        <v>2363</v>
      </c>
      <c r="E49" s="1753" t="s">
        <v>2364</v>
      </c>
      <c r="F49" s="1753" t="s">
        <v>2213</v>
      </c>
      <c r="G49" s="1753" t="s">
        <v>17</v>
      </c>
      <c r="H49" s="1753" t="s">
        <v>17</v>
      </c>
      <c r="I49" s="1753" t="s">
        <v>2366</v>
      </c>
      <c r="J49" t="s">
        <v>17</v>
      </c>
      <c r="K49" t="s">
        <v>871</v>
      </c>
      <c r="L49" t="s">
        <v>2207</v>
      </c>
      <c r="M49" t="s">
        <v>2208</v>
      </c>
      <c r="N49" t="s">
        <v>392</v>
      </c>
    </row>
    <row r="50" spans="1:14" ht="11.25" customHeight="1">
      <c r="A50" s="1753" t="s">
        <v>2199</v>
      </c>
      <c r="B50" s="1753" t="s">
        <v>14</v>
      </c>
      <c r="C50" s="1753" t="s">
        <v>2367</v>
      </c>
      <c r="D50" s="1753" t="s">
        <v>2368</v>
      </c>
      <c r="E50" s="1753" t="s">
        <v>2369</v>
      </c>
      <c r="F50" s="1753" t="s">
        <v>2370</v>
      </c>
      <c r="G50" s="1753" t="s">
        <v>2371</v>
      </c>
      <c r="H50" s="1753" t="s">
        <v>17</v>
      </c>
      <c r="I50" s="1753" t="s">
        <v>2372</v>
      </c>
      <c r="J50" t="s">
        <v>17</v>
      </c>
      <c r="K50" t="s">
        <v>871</v>
      </c>
      <c r="L50" t="s">
        <v>2207</v>
      </c>
      <c r="M50" t="s">
        <v>2208</v>
      </c>
      <c r="N50" t="s">
        <v>392</v>
      </c>
    </row>
    <row r="51" spans="1:14" ht="11.25" customHeight="1">
      <c r="A51" s="1753" t="s">
        <v>2199</v>
      </c>
      <c r="B51" s="1753" t="s">
        <v>14</v>
      </c>
      <c r="C51" s="1753" t="s">
        <v>2373</v>
      </c>
      <c r="D51" s="1753" t="s">
        <v>2374</v>
      </c>
      <c r="E51" s="1753" t="s">
        <v>2375</v>
      </c>
      <c r="F51" s="1753" t="s">
        <v>50</v>
      </c>
      <c r="G51" s="1753" t="s">
        <v>2376</v>
      </c>
      <c r="H51" s="1753" t="s">
        <v>17</v>
      </c>
      <c r="I51" s="1753" t="s">
        <v>2376</v>
      </c>
      <c r="J51" t="s">
        <v>17</v>
      </c>
      <c r="K51" t="s">
        <v>871</v>
      </c>
      <c r="L51" t="s">
        <v>2207</v>
      </c>
      <c r="M51" t="s">
        <v>2208</v>
      </c>
      <c r="N51" t="s">
        <v>392</v>
      </c>
    </row>
    <row r="52" spans="1:14" ht="11.25" customHeight="1">
      <c r="A52" s="1753" t="s">
        <v>2199</v>
      </c>
      <c r="B52" s="1753" t="s">
        <v>14</v>
      </c>
      <c r="C52" s="1753" t="s">
        <v>2377</v>
      </c>
      <c r="D52" s="1753" t="s">
        <v>2378</v>
      </c>
      <c r="E52" s="1753" t="s">
        <v>2379</v>
      </c>
      <c r="F52" s="1753" t="s">
        <v>2380</v>
      </c>
      <c r="G52" s="1753" t="s">
        <v>17</v>
      </c>
      <c r="H52" s="1753" t="s">
        <v>17</v>
      </c>
      <c r="I52" s="1753" t="s">
        <v>2214</v>
      </c>
      <c r="J52" t="s">
        <v>17</v>
      </c>
      <c r="K52" t="s">
        <v>871</v>
      </c>
      <c r="L52" t="s">
        <v>2207</v>
      </c>
      <c r="M52" t="s">
        <v>2208</v>
      </c>
      <c r="N52" t="s">
        <v>392</v>
      </c>
    </row>
    <row r="53" spans="1:14" ht="11.25" customHeight="1">
      <c r="A53" s="1753" t="s">
        <v>2199</v>
      </c>
      <c r="B53" s="1753" t="s">
        <v>14</v>
      </c>
      <c r="C53" s="1753" t="s">
        <v>2381</v>
      </c>
      <c r="D53" s="1753" t="s">
        <v>2382</v>
      </c>
      <c r="E53" s="1753" t="s">
        <v>2383</v>
      </c>
      <c r="F53" s="1753" t="s">
        <v>2223</v>
      </c>
      <c r="G53" s="1753" t="s">
        <v>2384</v>
      </c>
      <c r="H53" s="1753" t="s">
        <v>17</v>
      </c>
      <c r="I53" s="1753" t="s">
        <v>2384</v>
      </c>
      <c r="J53" t="s">
        <v>17</v>
      </c>
      <c r="K53" t="s">
        <v>871</v>
      </c>
      <c r="L53" t="s">
        <v>2207</v>
      </c>
      <c r="M53" t="s">
        <v>2208</v>
      </c>
      <c r="N53" t="s">
        <v>392</v>
      </c>
    </row>
    <row r="54" spans="1:14" ht="11.25" customHeight="1">
      <c r="A54" s="1753" t="s">
        <v>2199</v>
      </c>
      <c r="B54" s="1753" t="s">
        <v>14</v>
      </c>
      <c r="C54" s="1753" t="s">
        <v>2385</v>
      </c>
      <c r="D54" s="1753" t="s">
        <v>2386</v>
      </c>
      <c r="E54" s="1753" t="s">
        <v>2387</v>
      </c>
      <c r="F54" s="1753" t="s">
        <v>2388</v>
      </c>
      <c r="G54" s="1753" t="s">
        <v>2389</v>
      </c>
      <c r="H54" s="1753" t="s">
        <v>17</v>
      </c>
      <c r="I54" s="1753" t="s">
        <v>2389</v>
      </c>
      <c r="J54" t="s">
        <v>17</v>
      </c>
      <c r="K54" t="s">
        <v>871</v>
      </c>
      <c r="L54" t="s">
        <v>2207</v>
      </c>
      <c r="M54" t="s">
        <v>2208</v>
      </c>
      <c r="N54" t="s">
        <v>392</v>
      </c>
    </row>
    <row r="55" spans="1:14" ht="11.25" customHeight="1">
      <c r="A55" s="1753" t="s">
        <v>2199</v>
      </c>
      <c r="B55" s="1753" t="s">
        <v>14</v>
      </c>
      <c r="C55" s="1753" t="s">
        <v>2390</v>
      </c>
      <c r="D55" s="1753" t="s">
        <v>2391</v>
      </c>
      <c r="E55" s="1753" t="s">
        <v>2392</v>
      </c>
      <c r="F55" s="1753" t="s">
        <v>2388</v>
      </c>
      <c r="G55" s="1753" t="s">
        <v>17</v>
      </c>
      <c r="H55" s="1753" t="s">
        <v>17</v>
      </c>
      <c r="I55" s="1753" t="s">
        <v>2214</v>
      </c>
      <c r="J55" t="s">
        <v>17</v>
      </c>
      <c r="K55" t="s">
        <v>871</v>
      </c>
      <c r="L55" t="s">
        <v>2207</v>
      </c>
      <c r="M55" t="s">
        <v>2208</v>
      </c>
      <c r="N55" t="s">
        <v>392</v>
      </c>
    </row>
    <row r="56" spans="1:14" ht="11.25" customHeight="1">
      <c r="A56" s="1753" t="s">
        <v>2199</v>
      </c>
      <c r="B56" s="1753" t="s">
        <v>14</v>
      </c>
      <c r="C56" s="1753" t="s">
        <v>2393</v>
      </c>
      <c r="D56" s="1753" t="s">
        <v>2394</v>
      </c>
      <c r="E56" s="1753" t="s">
        <v>2395</v>
      </c>
      <c r="F56" s="1753" t="s">
        <v>2388</v>
      </c>
      <c r="G56" s="1753" t="s">
        <v>17</v>
      </c>
      <c r="H56" s="1753" t="s">
        <v>17</v>
      </c>
      <c r="I56" s="1753" t="s">
        <v>2396</v>
      </c>
      <c r="J56" t="s">
        <v>17</v>
      </c>
      <c r="K56" t="s">
        <v>871</v>
      </c>
      <c r="L56" t="s">
        <v>2207</v>
      </c>
      <c r="M56" t="s">
        <v>2208</v>
      </c>
      <c r="N56" t="s">
        <v>392</v>
      </c>
    </row>
    <row r="57" spans="1:14" ht="11.25" customHeight="1">
      <c r="A57" s="1753" t="s">
        <v>2199</v>
      </c>
      <c r="B57" s="1753" t="s">
        <v>14</v>
      </c>
      <c r="C57" s="1753" t="s">
        <v>2397</v>
      </c>
      <c r="D57" s="1753" t="s">
        <v>2398</v>
      </c>
      <c r="E57" s="1753" t="s">
        <v>2399</v>
      </c>
      <c r="F57" s="1753" t="s">
        <v>2400</v>
      </c>
      <c r="G57" s="1753" t="s">
        <v>17</v>
      </c>
      <c r="H57" s="1753" t="s">
        <v>17</v>
      </c>
      <c r="I57" s="1753" t="s">
        <v>2246</v>
      </c>
      <c r="J57" t="s">
        <v>17</v>
      </c>
      <c r="K57" t="s">
        <v>871</v>
      </c>
      <c r="L57" t="s">
        <v>2207</v>
      </c>
      <c r="M57" t="s">
        <v>2208</v>
      </c>
      <c r="N57" t="s">
        <v>392</v>
      </c>
    </row>
    <row r="58" spans="1:14" ht="11.25" customHeight="1">
      <c r="A58" s="1753" t="s">
        <v>2199</v>
      </c>
      <c r="B58" s="1753" t="s">
        <v>14</v>
      </c>
      <c r="C58" s="1753" t="s">
        <v>2401</v>
      </c>
      <c r="D58" s="1753" t="s">
        <v>2402</v>
      </c>
      <c r="E58" s="1753" t="s">
        <v>2403</v>
      </c>
      <c r="F58" s="1753" t="s">
        <v>2404</v>
      </c>
      <c r="G58" s="1753" t="s">
        <v>17</v>
      </c>
      <c r="H58" s="1753" t="s">
        <v>17</v>
      </c>
      <c r="I58" s="1753" t="s">
        <v>2214</v>
      </c>
      <c r="J58" t="s">
        <v>17</v>
      </c>
      <c r="K58" t="s">
        <v>871</v>
      </c>
      <c r="L58" t="s">
        <v>2207</v>
      </c>
      <c r="M58" t="s">
        <v>2208</v>
      </c>
      <c r="N58" t="s">
        <v>392</v>
      </c>
    </row>
    <row r="59" spans="1:14" ht="11.25" customHeight="1">
      <c r="A59" s="1753" t="s">
        <v>2199</v>
      </c>
      <c r="B59" s="1753" t="s">
        <v>14</v>
      </c>
      <c r="C59" s="1753" t="s">
        <v>2405</v>
      </c>
      <c r="D59" s="1753" t="s">
        <v>2406</v>
      </c>
      <c r="E59" s="1753" t="s">
        <v>2407</v>
      </c>
      <c r="F59" s="1753" t="s">
        <v>2408</v>
      </c>
      <c r="G59" s="1753" t="s">
        <v>17</v>
      </c>
      <c r="H59" s="1753" t="s">
        <v>17</v>
      </c>
      <c r="I59" s="1753" t="s">
        <v>2326</v>
      </c>
      <c r="J59" t="s">
        <v>17</v>
      </c>
      <c r="K59" t="s">
        <v>931</v>
      </c>
      <c r="L59" t="s">
        <v>2228</v>
      </c>
      <c r="M59" t="s">
        <v>2229</v>
      </c>
      <c r="N59" t="s">
        <v>392</v>
      </c>
    </row>
    <row r="60" spans="1:14" ht="11.25" customHeight="1">
      <c r="A60" s="1753" t="s">
        <v>2199</v>
      </c>
      <c r="B60" s="1753" t="s">
        <v>14</v>
      </c>
      <c r="C60" s="1753" t="s">
        <v>2409</v>
      </c>
      <c r="D60" s="1753" t="s">
        <v>2410</v>
      </c>
      <c r="E60" s="1753" t="s">
        <v>2411</v>
      </c>
      <c r="F60" s="1753" t="s">
        <v>2412</v>
      </c>
      <c r="G60" s="1753" t="s">
        <v>17</v>
      </c>
      <c r="H60" s="1753" t="s">
        <v>17</v>
      </c>
      <c r="I60" s="1753" t="s">
        <v>2246</v>
      </c>
      <c r="J60" t="s">
        <v>17</v>
      </c>
      <c r="K60" t="s">
        <v>931</v>
      </c>
      <c r="L60" t="s">
        <v>2228</v>
      </c>
      <c r="M60" t="s">
        <v>2229</v>
      </c>
      <c r="N60" t="s">
        <v>392</v>
      </c>
    </row>
    <row r="61" spans="1:14" ht="11.25" customHeight="1">
      <c r="A61" s="1753" t="s">
        <v>2199</v>
      </c>
      <c r="B61" s="1753" t="s">
        <v>14</v>
      </c>
      <c r="C61" s="1753" t="s">
        <v>2413</v>
      </c>
      <c r="D61" s="1753" t="s">
        <v>2414</v>
      </c>
      <c r="E61" s="1753" t="s">
        <v>2415</v>
      </c>
      <c r="F61" s="1753" t="s">
        <v>2416</v>
      </c>
      <c r="G61" s="1753" t="s">
        <v>17</v>
      </c>
      <c r="H61" s="1753" t="s">
        <v>17</v>
      </c>
      <c r="I61" s="1753" t="s">
        <v>2330</v>
      </c>
      <c r="J61" t="s">
        <v>17</v>
      </c>
      <c r="K61" t="s">
        <v>871</v>
      </c>
      <c r="L61" t="s">
        <v>2207</v>
      </c>
      <c r="M61" t="s">
        <v>2208</v>
      </c>
      <c r="N61" t="s">
        <v>392</v>
      </c>
    </row>
    <row r="62" spans="1:14" ht="11.25" customHeight="1">
      <c r="A62" s="1753" t="s">
        <v>2199</v>
      </c>
      <c r="B62" s="1753" t="s">
        <v>14</v>
      </c>
      <c r="C62" s="1753" t="s">
        <v>2417</v>
      </c>
      <c r="D62" s="1753" t="s">
        <v>2418</v>
      </c>
      <c r="E62" s="1753" t="s">
        <v>2419</v>
      </c>
      <c r="F62" s="1753" t="s">
        <v>2420</v>
      </c>
      <c r="G62" s="1753" t="s">
        <v>17</v>
      </c>
      <c r="H62" s="1753" t="s">
        <v>17</v>
      </c>
      <c r="I62" s="1753" t="s">
        <v>2330</v>
      </c>
      <c r="J62" t="s">
        <v>17</v>
      </c>
      <c r="K62" t="s">
        <v>871</v>
      </c>
      <c r="L62" t="s">
        <v>2207</v>
      </c>
      <c r="M62" t="s">
        <v>2208</v>
      </c>
      <c r="N62" t="s">
        <v>392</v>
      </c>
    </row>
    <row r="63" spans="1:14" ht="11.25" customHeight="1">
      <c r="A63" s="1753" t="s">
        <v>2199</v>
      </c>
      <c r="B63" s="1753" t="s">
        <v>14</v>
      </c>
      <c r="C63" s="1753" t="s">
        <v>2421</v>
      </c>
      <c r="D63" s="1753" t="s">
        <v>2422</v>
      </c>
      <c r="E63" s="1753" t="s">
        <v>2423</v>
      </c>
      <c r="F63" s="1753" t="s">
        <v>2424</v>
      </c>
      <c r="G63" s="1753" t="s">
        <v>17</v>
      </c>
      <c r="H63" s="1753" t="s">
        <v>17</v>
      </c>
      <c r="I63" s="1753" t="s">
        <v>2330</v>
      </c>
      <c r="J63" t="s">
        <v>17</v>
      </c>
      <c r="K63" t="s">
        <v>871</v>
      </c>
      <c r="L63" t="s">
        <v>2207</v>
      </c>
      <c r="M63" t="s">
        <v>2208</v>
      </c>
      <c r="N63" t="s">
        <v>392</v>
      </c>
    </row>
    <row r="64" spans="1:14" ht="11.25" customHeight="1">
      <c r="A64" s="1753" t="s">
        <v>2199</v>
      </c>
      <c r="B64" s="1753" t="s">
        <v>14</v>
      </c>
      <c r="C64" s="1753" t="s">
        <v>2425</v>
      </c>
      <c r="D64" s="1753" t="s">
        <v>2426</v>
      </c>
      <c r="E64" s="1753" t="s">
        <v>2427</v>
      </c>
      <c r="F64" s="1753" t="s">
        <v>2259</v>
      </c>
      <c r="G64" s="1753" t="s">
        <v>17</v>
      </c>
      <c r="H64" s="1753" t="s">
        <v>17</v>
      </c>
      <c r="I64" s="1753" t="s">
        <v>2428</v>
      </c>
      <c r="J64" t="s">
        <v>17</v>
      </c>
      <c r="K64" t="s">
        <v>871</v>
      </c>
      <c r="L64" t="s">
        <v>2207</v>
      </c>
      <c r="M64" t="s">
        <v>2208</v>
      </c>
      <c r="N64" t="s">
        <v>392</v>
      </c>
    </row>
    <row r="65" spans="1:14" ht="11.25" customHeight="1">
      <c r="A65" s="1753" t="s">
        <v>2199</v>
      </c>
      <c r="B65" s="1753" t="s">
        <v>14</v>
      </c>
      <c r="C65" s="1753" t="s">
        <v>2429</v>
      </c>
      <c r="D65" s="1753" t="s">
        <v>2430</v>
      </c>
      <c r="E65" s="1753" t="s">
        <v>2431</v>
      </c>
      <c r="F65" s="1753" t="s">
        <v>2432</v>
      </c>
      <c r="G65" s="1753" t="s">
        <v>17</v>
      </c>
      <c r="H65" s="1753" t="s">
        <v>17</v>
      </c>
      <c r="I65" s="1753" t="s">
        <v>2246</v>
      </c>
      <c r="J65" t="s">
        <v>17</v>
      </c>
      <c r="K65" t="s">
        <v>871</v>
      </c>
      <c r="L65" t="s">
        <v>2207</v>
      </c>
      <c r="M65" t="s">
        <v>2208</v>
      </c>
      <c r="N65" t="s">
        <v>392</v>
      </c>
    </row>
    <row r="66" spans="1:14" ht="11.25" customHeight="1">
      <c r="A66" s="1753" t="s">
        <v>2199</v>
      </c>
      <c r="B66" s="1753" t="s">
        <v>14</v>
      </c>
      <c r="C66" s="1753" t="s">
        <v>2433</v>
      </c>
      <c r="D66" s="1753" t="s">
        <v>2434</v>
      </c>
      <c r="E66" s="1753" t="s">
        <v>2435</v>
      </c>
      <c r="F66" s="1753" t="s">
        <v>50</v>
      </c>
      <c r="G66" s="1753" t="s">
        <v>17</v>
      </c>
      <c r="H66" s="1753" t="s">
        <v>17</v>
      </c>
      <c r="I66" s="1753" t="s">
        <v>2436</v>
      </c>
      <c r="J66" t="s">
        <v>17</v>
      </c>
      <c r="K66" t="s">
        <v>931</v>
      </c>
      <c r="L66" t="s">
        <v>2228</v>
      </c>
      <c r="M66" t="s">
        <v>2229</v>
      </c>
      <c r="N66" t="s">
        <v>392</v>
      </c>
    </row>
    <row r="67" spans="1:14" ht="11.25" customHeight="1">
      <c r="A67" s="1753" t="s">
        <v>2199</v>
      </c>
      <c r="B67" s="1753" t="s">
        <v>14</v>
      </c>
      <c r="C67" s="1753" t="s">
        <v>2433</v>
      </c>
      <c r="D67" s="1753" t="s">
        <v>2434</v>
      </c>
      <c r="E67" s="1753" t="s">
        <v>2435</v>
      </c>
      <c r="F67" s="1753" t="s">
        <v>50</v>
      </c>
      <c r="G67" s="1753" t="s">
        <v>17</v>
      </c>
      <c r="H67" s="1753" t="s">
        <v>17</v>
      </c>
      <c r="I67" s="1753" t="s">
        <v>2437</v>
      </c>
      <c r="J67" t="s">
        <v>17</v>
      </c>
      <c r="K67" t="s">
        <v>2438</v>
      </c>
      <c r="L67" t="s">
        <v>2439</v>
      </c>
      <c r="M67" t="s">
        <v>2440</v>
      </c>
      <c r="N67" t="s">
        <v>392</v>
      </c>
    </row>
    <row r="68" spans="1:14" ht="11.25" customHeight="1">
      <c r="A68" s="1753" t="s">
        <v>2199</v>
      </c>
      <c r="B68" s="1753" t="s">
        <v>14</v>
      </c>
      <c r="C68" s="1753" t="s">
        <v>2441</v>
      </c>
      <c r="D68" s="1753" t="s">
        <v>2442</v>
      </c>
      <c r="E68" s="1753" t="s">
        <v>2443</v>
      </c>
      <c r="F68" s="1753" t="s">
        <v>2268</v>
      </c>
      <c r="G68" s="1753" t="s">
        <v>17</v>
      </c>
      <c r="H68" s="1753" t="s">
        <v>17</v>
      </c>
      <c r="I68" s="1753" t="s">
        <v>2444</v>
      </c>
      <c r="J68" t="s">
        <v>17</v>
      </c>
      <c r="K68" t="s">
        <v>871</v>
      </c>
      <c r="L68" t="s">
        <v>2207</v>
      </c>
      <c r="M68" t="s">
        <v>2208</v>
      </c>
      <c r="N68" t="s">
        <v>392</v>
      </c>
    </row>
    <row r="69" spans="1:14" ht="11.25" customHeight="1">
      <c r="A69" s="1753" t="s">
        <v>2199</v>
      </c>
      <c r="B69" s="1753" t="s">
        <v>14</v>
      </c>
      <c r="C69" s="1753" t="s">
        <v>2445</v>
      </c>
      <c r="D69" s="1753" t="s">
        <v>2446</v>
      </c>
      <c r="E69" s="1753" t="s">
        <v>2447</v>
      </c>
      <c r="F69" s="1753" t="s">
        <v>2255</v>
      </c>
      <c r="G69" s="1753" t="s">
        <v>17</v>
      </c>
      <c r="H69" s="1753" t="s">
        <v>17</v>
      </c>
      <c r="I69" s="1753" t="s">
        <v>2246</v>
      </c>
      <c r="J69" t="s">
        <v>17</v>
      </c>
      <c r="K69" t="s">
        <v>871</v>
      </c>
      <c r="L69" t="s">
        <v>2207</v>
      </c>
      <c r="M69" t="s">
        <v>2208</v>
      </c>
      <c r="N69" t="s">
        <v>392</v>
      </c>
    </row>
    <row r="70" spans="1:14" ht="11.25" customHeight="1">
      <c r="A70" s="1753" t="s">
        <v>2199</v>
      </c>
      <c r="B70" s="1753" t="s">
        <v>14</v>
      </c>
      <c r="C70" s="1753" t="s">
        <v>2448</v>
      </c>
      <c r="D70" s="1753" t="s">
        <v>2449</v>
      </c>
      <c r="E70" s="1753" t="s">
        <v>2450</v>
      </c>
      <c r="F70" s="1753" t="s">
        <v>2451</v>
      </c>
      <c r="G70" s="1753" t="s">
        <v>17</v>
      </c>
      <c r="H70" s="1753" t="s">
        <v>17</v>
      </c>
      <c r="I70" s="1753" t="s">
        <v>2452</v>
      </c>
      <c r="J70" t="s">
        <v>17</v>
      </c>
      <c r="K70" t="s">
        <v>871</v>
      </c>
      <c r="L70" t="s">
        <v>2207</v>
      </c>
      <c r="M70" t="s">
        <v>2208</v>
      </c>
      <c r="N70" t="s">
        <v>392</v>
      </c>
    </row>
    <row r="71" spans="1:14" ht="11.25" customHeight="1">
      <c r="A71" s="1753" t="s">
        <v>2199</v>
      </c>
      <c r="B71" s="1753" t="s">
        <v>14</v>
      </c>
      <c r="C71" s="1753" t="s">
        <v>2448</v>
      </c>
      <c r="D71" s="1753" t="s">
        <v>2449</v>
      </c>
      <c r="E71" s="1753" t="s">
        <v>2450</v>
      </c>
      <c r="F71" s="1753" t="s">
        <v>2451</v>
      </c>
      <c r="G71" s="1753" t="s">
        <v>17</v>
      </c>
      <c r="H71" s="1753" t="s">
        <v>17</v>
      </c>
      <c r="I71" s="1753" t="s">
        <v>2453</v>
      </c>
      <c r="J71" t="s">
        <v>17</v>
      </c>
      <c r="K71" t="s">
        <v>871</v>
      </c>
      <c r="L71" t="s">
        <v>2207</v>
      </c>
      <c r="M71" t="s">
        <v>2208</v>
      </c>
      <c r="N71" t="s">
        <v>392</v>
      </c>
    </row>
    <row r="72" spans="1:14" ht="11.25" customHeight="1">
      <c r="A72" s="1753" t="s">
        <v>2199</v>
      </c>
      <c r="B72" s="1753" t="s">
        <v>14</v>
      </c>
      <c r="C72" s="1753" t="s">
        <v>2448</v>
      </c>
      <c r="D72" s="1753" t="s">
        <v>2449</v>
      </c>
      <c r="E72" s="1753" t="s">
        <v>2450</v>
      </c>
      <c r="F72" s="1753" t="s">
        <v>2451</v>
      </c>
      <c r="G72" s="1753" t="s">
        <v>17</v>
      </c>
      <c r="H72" s="1753" t="s">
        <v>17</v>
      </c>
      <c r="I72" s="1753" t="s">
        <v>2330</v>
      </c>
      <c r="J72" t="s">
        <v>17</v>
      </c>
      <c r="K72" t="s">
        <v>871</v>
      </c>
      <c r="L72" t="s">
        <v>2207</v>
      </c>
      <c r="M72" t="s">
        <v>2208</v>
      </c>
      <c r="N72" t="s">
        <v>392</v>
      </c>
    </row>
    <row r="73" spans="1:14" ht="11.25" customHeight="1">
      <c r="A73" s="1753" t="s">
        <v>2199</v>
      </c>
      <c r="B73" s="1753" t="s">
        <v>14</v>
      </c>
      <c r="C73" s="1753" t="s">
        <v>2454</v>
      </c>
      <c r="D73" s="1753" t="s">
        <v>2455</v>
      </c>
      <c r="E73" s="1753" t="s">
        <v>2456</v>
      </c>
      <c r="F73" s="1753" t="s">
        <v>2457</v>
      </c>
      <c r="G73" s="1753" t="s">
        <v>17</v>
      </c>
      <c r="H73" s="1753" t="s">
        <v>17</v>
      </c>
      <c r="I73" s="1753" t="s">
        <v>2330</v>
      </c>
      <c r="J73" t="s">
        <v>17</v>
      </c>
      <c r="K73" t="s">
        <v>871</v>
      </c>
      <c r="L73" t="s">
        <v>2207</v>
      </c>
      <c r="M73" t="s">
        <v>2208</v>
      </c>
      <c r="N73" t="s">
        <v>392</v>
      </c>
    </row>
    <row r="74" spans="1:14" ht="11.25" customHeight="1">
      <c r="A74" s="1753" t="s">
        <v>2199</v>
      </c>
      <c r="B74" s="1753" t="s">
        <v>14</v>
      </c>
      <c r="C74" s="1753" t="s">
        <v>2458</v>
      </c>
      <c r="D74" s="1753" t="s">
        <v>2459</v>
      </c>
      <c r="E74" s="1753" t="s">
        <v>2460</v>
      </c>
      <c r="F74" s="1753" t="s">
        <v>2314</v>
      </c>
      <c r="G74" s="1753" t="s">
        <v>17</v>
      </c>
      <c r="H74" s="1753" t="s">
        <v>17</v>
      </c>
      <c r="I74" s="1753" t="s">
        <v>2297</v>
      </c>
      <c r="J74" t="s">
        <v>17</v>
      </c>
      <c r="K74" t="s">
        <v>871</v>
      </c>
      <c r="L74" t="s">
        <v>2207</v>
      </c>
      <c r="M74" t="s">
        <v>2208</v>
      </c>
      <c r="N74" t="s">
        <v>392</v>
      </c>
    </row>
    <row r="75" spans="1:14" ht="11.25" customHeight="1">
      <c r="A75" s="1753" t="s">
        <v>2199</v>
      </c>
      <c r="B75" s="1753" t="s">
        <v>14</v>
      </c>
      <c r="C75" s="1753" t="s">
        <v>2461</v>
      </c>
      <c r="D75" s="1753" t="s">
        <v>2462</v>
      </c>
      <c r="E75" s="1753" t="s">
        <v>2463</v>
      </c>
      <c r="F75" s="1753" t="s">
        <v>2314</v>
      </c>
      <c r="G75" s="1753" t="s">
        <v>17</v>
      </c>
      <c r="H75" s="1753" t="s">
        <v>17</v>
      </c>
      <c r="I75" s="1753" t="s">
        <v>2464</v>
      </c>
      <c r="J75" t="s">
        <v>17</v>
      </c>
      <c r="K75" t="s">
        <v>775</v>
      </c>
      <c r="L75" t="s">
        <v>2231</v>
      </c>
      <c r="M75" t="s">
        <v>2232</v>
      </c>
      <c r="N75" t="s">
        <v>392</v>
      </c>
    </row>
    <row r="76" spans="1:14" ht="11.25" customHeight="1">
      <c r="A76" s="1753" t="s">
        <v>2199</v>
      </c>
      <c r="B76" s="1753" t="s">
        <v>14</v>
      </c>
      <c r="C76" s="1753" t="s">
        <v>2461</v>
      </c>
      <c r="D76" s="1753" t="s">
        <v>2462</v>
      </c>
      <c r="E76" s="1753" t="s">
        <v>2463</v>
      </c>
      <c r="F76" s="1753" t="s">
        <v>2314</v>
      </c>
      <c r="G76" s="1753" t="s">
        <v>17</v>
      </c>
      <c r="H76" s="1753" t="s">
        <v>17</v>
      </c>
      <c r="I76" s="1753" t="s">
        <v>2465</v>
      </c>
      <c r="J76" t="s">
        <v>17</v>
      </c>
      <c r="K76" t="s">
        <v>931</v>
      </c>
      <c r="L76" t="s">
        <v>2228</v>
      </c>
      <c r="M76" t="s">
        <v>2229</v>
      </c>
      <c r="N76" t="s">
        <v>392</v>
      </c>
    </row>
    <row r="77" spans="1:14" ht="11.25" customHeight="1">
      <c r="A77" s="1753" t="s">
        <v>2199</v>
      </c>
      <c r="B77" s="1753" t="s">
        <v>14</v>
      </c>
      <c r="C77" s="1753" t="s">
        <v>2466</v>
      </c>
      <c r="D77" s="1753" t="s">
        <v>2467</v>
      </c>
      <c r="E77" s="1753" t="s">
        <v>2468</v>
      </c>
      <c r="F77" s="1753" t="s">
        <v>2388</v>
      </c>
      <c r="G77" s="1753" t="s">
        <v>17</v>
      </c>
      <c r="H77" s="1753" t="s">
        <v>17</v>
      </c>
      <c r="I77" s="1753" t="s">
        <v>2469</v>
      </c>
      <c r="J77" t="s">
        <v>17</v>
      </c>
      <c r="K77" t="s">
        <v>803</v>
      </c>
      <c r="L77" t="s">
        <v>803</v>
      </c>
      <c r="M77" t="s">
        <v>2470</v>
      </c>
      <c r="N77" t="s">
        <v>392</v>
      </c>
    </row>
    <row r="78" spans="1:14" ht="11.25" customHeight="1">
      <c r="A78" s="1753" t="s">
        <v>2199</v>
      </c>
      <c r="B78" s="1753" t="s">
        <v>14</v>
      </c>
      <c r="C78" s="1753" t="s">
        <v>2471</v>
      </c>
      <c r="D78" s="1753" t="s">
        <v>2472</v>
      </c>
      <c r="E78" s="1753" t="s">
        <v>2473</v>
      </c>
      <c r="F78" s="1753" t="s">
        <v>2474</v>
      </c>
      <c r="G78" s="1753" t="s">
        <v>17</v>
      </c>
      <c r="H78" s="1753" t="s">
        <v>17</v>
      </c>
      <c r="I78" s="1753" t="s">
        <v>2214</v>
      </c>
      <c r="J78" t="s">
        <v>17</v>
      </c>
      <c r="K78" t="s">
        <v>871</v>
      </c>
      <c r="L78" t="s">
        <v>2207</v>
      </c>
      <c r="M78" t="s">
        <v>2208</v>
      </c>
      <c r="N78" t="s">
        <v>392</v>
      </c>
    </row>
    <row r="79" spans="1:14" ht="11.25" customHeight="1">
      <c r="A79" s="1753" t="s">
        <v>2199</v>
      </c>
      <c r="B79" s="1753" t="s">
        <v>14</v>
      </c>
      <c r="C79" s="1753" t="s">
        <v>2475</v>
      </c>
      <c r="D79" s="1753" t="s">
        <v>2476</v>
      </c>
      <c r="E79" s="1753" t="s">
        <v>2477</v>
      </c>
      <c r="F79" s="1753" t="s">
        <v>1425</v>
      </c>
      <c r="G79" s="1753" t="s">
        <v>17</v>
      </c>
      <c r="H79" s="1753" t="s">
        <v>17</v>
      </c>
      <c r="I79" s="1753" t="s">
        <v>2478</v>
      </c>
      <c r="J79" t="s">
        <v>17</v>
      </c>
      <c r="K79" t="s">
        <v>871</v>
      </c>
      <c r="L79" t="s">
        <v>2207</v>
      </c>
      <c r="M79" t="s">
        <v>2208</v>
      </c>
      <c r="N79" t="s">
        <v>392</v>
      </c>
    </row>
    <row r="80" spans="1:14" ht="11.25" customHeight="1">
      <c r="A80" s="1753" t="s">
        <v>2199</v>
      </c>
      <c r="B80" s="1753" t="s">
        <v>14</v>
      </c>
      <c r="C80" s="1753" t="s">
        <v>2479</v>
      </c>
      <c r="D80" s="1753" t="s">
        <v>2480</v>
      </c>
      <c r="E80" s="1753" t="s">
        <v>2481</v>
      </c>
      <c r="F80" s="1753" t="s">
        <v>1425</v>
      </c>
      <c r="G80" s="1753" t="s">
        <v>17</v>
      </c>
      <c r="H80" s="1753" t="s">
        <v>17</v>
      </c>
      <c r="I80" s="1753" t="s">
        <v>2482</v>
      </c>
      <c r="J80" t="s">
        <v>17</v>
      </c>
      <c r="K80" t="s">
        <v>931</v>
      </c>
      <c r="L80" t="s">
        <v>2228</v>
      </c>
      <c r="M80" t="s">
        <v>2229</v>
      </c>
      <c r="N80" t="s">
        <v>392</v>
      </c>
    </row>
    <row r="81" spans="1:14" ht="11.25" customHeight="1">
      <c r="A81" s="1753" t="s">
        <v>2199</v>
      </c>
      <c r="B81" s="1753" t="s">
        <v>14</v>
      </c>
      <c r="C81" s="1753" t="s">
        <v>2483</v>
      </c>
      <c r="D81" s="1753" t="s">
        <v>2484</v>
      </c>
      <c r="E81" s="1753" t="s">
        <v>2485</v>
      </c>
      <c r="F81" s="1753" t="s">
        <v>1425</v>
      </c>
      <c r="G81" s="1753" t="s">
        <v>17</v>
      </c>
      <c r="H81" s="1753" t="s">
        <v>17</v>
      </c>
      <c r="I81" s="1753" t="s">
        <v>2486</v>
      </c>
      <c r="J81" t="s">
        <v>17</v>
      </c>
      <c r="K81" t="s">
        <v>803</v>
      </c>
      <c r="L81" t="s">
        <v>803</v>
      </c>
      <c r="M81" t="s">
        <v>2470</v>
      </c>
      <c r="N81" t="s">
        <v>392</v>
      </c>
    </row>
    <row r="82" spans="1:14" ht="11.25" customHeight="1">
      <c r="A82" s="1753" t="s">
        <v>2199</v>
      </c>
      <c r="B82" s="1753" t="s">
        <v>14</v>
      </c>
      <c r="C82" s="1753" t="s">
        <v>2483</v>
      </c>
      <c r="D82" s="1753" t="s">
        <v>2484</v>
      </c>
      <c r="E82" s="1753" t="s">
        <v>2485</v>
      </c>
      <c r="F82" s="1753" t="s">
        <v>1425</v>
      </c>
      <c r="G82" s="1753" t="s">
        <v>17</v>
      </c>
      <c r="H82" s="1753" t="s">
        <v>17</v>
      </c>
      <c r="I82" s="1753" t="s">
        <v>2486</v>
      </c>
      <c r="J82" t="s">
        <v>17</v>
      </c>
      <c r="K82" t="s">
        <v>2487</v>
      </c>
      <c r="L82" t="s">
        <v>803</v>
      </c>
      <c r="M82" t="s">
        <v>2488</v>
      </c>
      <c r="N82" t="s">
        <v>392</v>
      </c>
    </row>
    <row r="83" spans="1:14" ht="11.25" customHeight="1">
      <c r="A83" s="1753" t="s">
        <v>2199</v>
      </c>
      <c r="B83" s="1753" t="s">
        <v>14</v>
      </c>
      <c r="C83" s="1753" t="s">
        <v>2489</v>
      </c>
      <c r="D83" s="1753" t="s">
        <v>2490</v>
      </c>
      <c r="E83" s="1753" t="s">
        <v>2491</v>
      </c>
      <c r="F83" s="1753" t="s">
        <v>1425</v>
      </c>
      <c r="G83" s="1753" t="s">
        <v>17</v>
      </c>
      <c r="H83" s="1753" t="s">
        <v>17</v>
      </c>
      <c r="I83" s="1753" t="s">
        <v>2492</v>
      </c>
      <c r="J83" t="s">
        <v>17</v>
      </c>
      <c r="K83" t="s">
        <v>871</v>
      </c>
      <c r="L83" t="s">
        <v>2207</v>
      </c>
      <c r="M83" t="s">
        <v>2208</v>
      </c>
      <c r="N83" t="s">
        <v>392</v>
      </c>
    </row>
    <row r="84" spans="1:14" ht="11.25" customHeight="1">
      <c r="A84" s="1753" t="s">
        <v>2199</v>
      </c>
      <c r="B84" s="1753" t="s">
        <v>14</v>
      </c>
      <c r="C84" s="1753" t="s">
        <v>2493</v>
      </c>
      <c r="D84" s="1753" t="s">
        <v>2494</v>
      </c>
      <c r="E84" s="1753" t="s">
        <v>2399</v>
      </c>
      <c r="F84" s="1753" t="s">
        <v>2495</v>
      </c>
      <c r="G84" s="1753" t="s">
        <v>17</v>
      </c>
      <c r="H84" s="1753" t="s">
        <v>17</v>
      </c>
      <c r="I84" s="1753" t="s">
        <v>2246</v>
      </c>
      <c r="J84" t="s">
        <v>17</v>
      </c>
      <c r="K84" t="s">
        <v>775</v>
      </c>
      <c r="L84" t="s">
        <v>2247</v>
      </c>
      <c r="M84" t="s">
        <v>2248</v>
      </c>
      <c r="N84" t="s">
        <v>392</v>
      </c>
    </row>
    <row r="85" spans="1:14" ht="11.25" customHeight="1">
      <c r="A85" s="1753" t="s">
        <v>2199</v>
      </c>
      <c r="B85" s="1753" t="s">
        <v>14</v>
      </c>
      <c r="C85" s="1753" t="s">
        <v>2493</v>
      </c>
      <c r="D85" s="1753" t="s">
        <v>2494</v>
      </c>
      <c r="E85" s="1753" t="s">
        <v>2399</v>
      </c>
      <c r="F85" s="1753" t="s">
        <v>2495</v>
      </c>
      <c r="G85" s="1753" t="s">
        <v>17</v>
      </c>
      <c r="H85" s="1753" t="s">
        <v>17</v>
      </c>
      <c r="I85" s="1753" t="s">
        <v>2246</v>
      </c>
      <c r="J85" t="s">
        <v>17</v>
      </c>
      <c r="K85" t="s">
        <v>871</v>
      </c>
      <c r="L85" t="s">
        <v>2247</v>
      </c>
      <c r="M85" t="s">
        <v>2248</v>
      </c>
      <c r="N85" t="s">
        <v>392</v>
      </c>
    </row>
    <row r="86" spans="1:14" ht="11.25" customHeight="1">
      <c r="A86" s="1753" t="s">
        <v>2199</v>
      </c>
      <c r="B86" s="1753" t="s">
        <v>14</v>
      </c>
      <c r="C86" s="1753" t="s">
        <v>2493</v>
      </c>
      <c r="D86" s="1753" t="s">
        <v>2494</v>
      </c>
      <c r="E86" s="1753" t="s">
        <v>2399</v>
      </c>
      <c r="F86" s="1753" t="s">
        <v>2495</v>
      </c>
      <c r="G86" s="1753" t="s">
        <v>17</v>
      </c>
      <c r="H86" s="1753" t="s">
        <v>17</v>
      </c>
      <c r="I86" s="1753" t="s">
        <v>2246</v>
      </c>
      <c r="J86" t="s">
        <v>17</v>
      </c>
      <c r="K86" t="s">
        <v>839</v>
      </c>
      <c r="L86" t="s">
        <v>2247</v>
      </c>
      <c r="M86" t="s">
        <v>2248</v>
      </c>
      <c r="N86" t="s">
        <v>392</v>
      </c>
    </row>
    <row r="87" spans="1:14" ht="11.25" customHeight="1">
      <c r="A87" s="1753" t="s">
        <v>2199</v>
      </c>
      <c r="B87" s="1753" t="s">
        <v>14</v>
      </c>
      <c r="C87" s="1753" t="s">
        <v>2496</v>
      </c>
      <c r="D87" s="1753" t="s">
        <v>2497</v>
      </c>
      <c r="E87" s="1753" t="s">
        <v>2498</v>
      </c>
      <c r="F87" s="1753" t="s">
        <v>2499</v>
      </c>
      <c r="G87" s="1753" t="s">
        <v>17</v>
      </c>
      <c r="H87" s="1753" t="s">
        <v>17</v>
      </c>
      <c r="I87" s="1753" t="s">
        <v>2469</v>
      </c>
      <c r="J87" t="s">
        <v>17</v>
      </c>
      <c r="K87" t="s">
        <v>896</v>
      </c>
      <c r="L87" t="s">
        <v>2283</v>
      </c>
      <c r="M87" t="s">
        <v>2284</v>
      </c>
      <c r="N87" t="s">
        <v>392</v>
      </c>
    </row>
    <row r="88" spans="1:14" ht="11.25" customHeight="1">
      <c r="A88" s="1753" t="s">
        <v>2199</v>
      </c>
      <c r="B88" s="1753" t="s">
        <v>14</v>
      </c>
      <c r="C88" s="1753" t="s">
        <v>2500</v>
      </c>
      <c r="D88" s="1753" t="s">
        <v>2501</v>
      </c>
      <c r="E88" s="1753" t="s">
        <v>2502</v>
      </c>
      <c r="F88" s="1753" t="s">
        <v>2499</v>
      </c>
      <c r="G88" s="1753" t="s">
        <v>17</v>
      </c>
      <c r="H88" s="1753" t="s">
        <v>17</v>
      </c>
      <c r="I88" s="1753" t="s">
        <v>2330</v>
      </c>
      <c r="J88" t="s">
        <v>17</v>
      </c>
      <c r="K88" t="s">
        <v>871</v>
      </c>
      <c r="L88" t="s">
        <v>2207</v>
      </c>
      <c r="M88" t="s">
        <v>2208</v>
      </c>
      <c r="N88" t="s">
        <v>392</v>
      </c>
    </row>
    <row r="89" spans="1:14" ht="11.25" customHeight="1">
      <c r="A89" s="1753" t="s">
        <v>2199</v>
      </c>
      <c r="B89" s="1753" t="s">
        <v>14</v>
      </c>
      <c r="C89" s="1753" t="s">
        <v>2503</v>
      </c>
      <c r="D89" s="1753" t="s">
        <v>2504</v>
      </c>
      <c r="E89" s="1753" t="s">
        <v>2505</v>
      </c>
      <c r="F89" s="1753" t="s">
        <v>2506</v>
      </c>
      <c r="G89" s="1753" t="s">
        <v>17</v>
      </c>
      <c r="H89" s="1753" t="s">
        <v>17</v>
      </c>
      <c r="I89" s="1753" t="s">
        <v>2246</v>
      </c>
      <c r="J89" t="s">
        <v>17</v>
      </c>
      <c r="K89" t="s">
        <v>931</v>
      </c>
      <c r="L89" t="s">
        <v>2228</v>
      </c>
      <c r="M89" t="s">
        <v>2229</v>
      </c>
      <c r="N89" t="s">
        <v>392</v>
      </c>
    </row>
    <row r="90" spans="1:14" ht="11.25" customHeight="1">
      <c r="A90" s="1753" t="s">
        <v>2199</v>
      </c>
      <c r="B90" s="1753" t="s">
        <v>14</v>
      </c>
      <c r="C90" s="1753" t="s">
        <v>2507</v>
      </c>
      <c r="D90" s="1753" t="s">
        <v>2508</v>
      </c>
      <c r="E90" s="1753" t="s">
        <v>2509</v>
      </c>
      <c r="F90" s="1753" t="s">
        <v>2380</v>
      </c>
      <c r="G90" s="1753" t="s">
        <v>17</v>
      </c>
      <c r="H90" s="1753" t="s">
        <v>17</v>
      </c>
      <c r="I90" s="1753" t="s">
        <v>2510</v>
      </c>
      <c r="J90" t="s">
        <v>17</v>
      </c>
      <c r="K90" t="s">
        <v>871</v>
      </c>
      <c r="L90" t="s">
        <v>2207</v>
      </c>
      <c r="M90" t="s">
        <v>2208</v>
      </c>
      <c r="N90" t="s">
        <v>392</v>
      </c>
    </row>
    <row r="91" spans="1:14" ht="11.25" customHeight="1">
      <c r="A91" s="1753" t="s">
        <v>2199</v>
      </c>
      <c r="B91" s="1753" t="s">
        <v>14</v>
      </c>
      <c r="C91" s="1753" t="s">
        <v>2511</v>
      </c>
      <c r="D91" s="1753" t="s">
        <v>2512</v>
      </c>
      <c r="E91" s="1753" t="s">
        <v>2513</v>
      </c>
      <c r="F91" s="1753" t="s">
        <v>2306</v>
      </c>
      <c r="G91" s="1753" t="s">
        <v>17</v>
      </c>
      <c r="H91" s="1753" t="s">
        <v>17</v>
      </c>
      <c r="I91" s="1753" t="s">
        <v>2514</v>
      </c>
      <c r="J91" t="s">
        <v>17</v>
      </c>
      <c r="K91" t="s">
        <v>871</v>
      </c>
      <c r="L91" t="s">
        <v>2207</v>
      </c>
      <c r="M91" t="s">
        <v>2208</v>
      </c>
      <c r="N91" t="s">
        <v>392</v>
      </c>
    </row>
    <row r="92" spans="1:14" ht="11.25" customHeight="1">
      <c r="A92" s="1753" t="s">
        <v>2199</v>
      </c>
      <c r="B92" s="1753" t="s">
        <v>14</v>
      </c>
      <c r="C92" s="1753" t="s">
        <v>2515</v>
      </c>
      <c r="D92" s="1753" t="s">
        <v>2516</v>
      </c>
      <c r="E92" s="1753" t="s">
        <v>2517</v>
      </c>
      <c r="F92" s="1753" t="s">
        <v>2380</v>
      </c>
      <c r="G92" s="1753" t="s">
        <v>17</v>
      </c>
      <c r="H92" s="1753" t="s">
        <v>17</v>
      </c>
      <c r="I92" s="1753" t="s">
        <v>2518</v>
      </c>
      <c r="J92" t="s">
        <v>17</v>
      </c>
      <c r="K92" t="s">
        <v>871</v>
      </c>
      <c r="L92" t="s">
        <v>2207</v>
      </c>
      <c r="M92" t="s">
        <v>2208</v>
      </c>
      <c r="N92" t="s">
        <v>392</v>
      </c>
    </row>
    <row r="93" spans="1:14" ht="11.25" customHeight="1">
      <c r="A93" s="1753" t="s">
        <v>2199</v>
      </c>
      <c r="B93" s="1753" t="s">
        <v>14</v>
      </c>
      <c r="C93" s="1753" t="s">
        <v>2519</v>
      </c>
      <c r="D93" s="1753" t="s">
        <v>2520</v>
      </c>
      <c r="E93" s="1753" t="s">
        <v>2521</v>
      </c>
      <c r="F93" s="1753" t="s">
        <v>2522</v>
      </c>
      <c r="G93" s="1753" t="s">
        <v>17</v>
      </c>
      <c r="H93" s="1753" t="s">
        <v>17</v>
      </c>
      <c r="I93" s="1753" t="s">
        <v>2246</v>
      </c>
      <c r="J93" t="s">
        <v>17</v>
      </c>
      <c r="K93" t="s">
        <v>871</v>
      </c>
      <c r="L93" t="s">
        <v>2207</v>
      </c>
      <c r="M93" t="s">
        <v>2208</v>
      </c>
      <c r="N93" t="s">
        <v>392</v>
      </c>
    </row>
    <row r="94" spans="1:14" ht="11.25" customHeight="1">
      <c r="A94" s="1753" t="s">
        <v>2199</v>
      </c>
      <c r="B94" s="1753" t="s">
        <v>14</v>
      </c>
      <c r="C94" s="1753" t="s">
        <v>2523</v>
      </c>
      <c r="D94" s="1753" t="s">
        <v>2524</v>
      </c>
      <c r="E94" s="1753" t="s">
        <v>2525</v>
      </c>
      <c r="F94" s="1753" t="s">
        <v>2268</v>
      </c>
      <c r="G94" s="1753" t="s">
        <v>17</v>
      </c>
      <c r="H94" s="1753" t="s">
        <v>17</v>
      </c>
      <c r="I94" s="1753" t="s">
        <v>2307</v>
      </c>
      <c r="J94" t="s">
        <v>17</v>
      </c>
      <c r="K94" t="s">
        <v>871</v>
      </c>
      <c r="L94" t="s">
        <v>2207</v>
      </c>
      <c r="M94" t="s">
        <v>2208</v>
      </c>
      <c r="N94" t="s">
        <v>392</v>
      </c>
    </row>
    <row r="95" spans="1:14" ht="11.25" customHeight="1">
      <c r="A95" s="1753" t="s">
        <v>2199</v>
      </c>
      <c r="B95" s="1753" t="s">
        <v>14</v>
      </c>
      <c r="C95" s="1753" t="s">
        <v>2526</v>
      </c>
      <c r="D95" s="1753" t="s">
        <v>2527</v>
      </c>
      <c r="E95" s="1753" t="s">
        <v>2528</v>
      </c>
      <c r="F95" s="1753" t="s">
        <v>2370</v>
      </c>
      <c r="G95" s="1753" t="s">
        <v>17</v>
      </c>
      <c r="H95" s="1753" t="s">
        <v>17</v>
      </c>
      <c r="I95" s="1753" t="s">
        <v>2307</v>
      </c>
      <c r="J95" t="s">
        <v>17</v>
      </c>
      <c r="K95" t="s">
        <v>871</v>
      </c>
      <c r="L95" t="s">
        <v>2207</v>
      </c>
      <c r="M95" t="s">
        <v>2208</v>
      </c>
      <c r="N95" t="s">
        <v>392</v>
      </c>
    </row>
    <row r="96" spans="1:14" ht="11.25" customHeight="1">
      <c r="A96" s="1753" t="s">
        <v>2199</v>
      </c>
      <c r="B96" s="1753" t="s">
        <v>14</v>
      </c>
      <c r="C96" s="1753" t="s">
        <v>2529</v>
      </c>
      <c r="D96" s="1753" t="s">
        <v>2530</v>
      </c>
      <c r="E96" s="1753" t="s">
        <v>2531</v>
      </c>
      <c r="F96" s="1753" t="s">
        <v>2522</v>
      </c>
      <c r="G96" s="1753" t="s">
        <v>17</v>
      </c>
      <c r="H96" s="1753" t="s">
        <v>17</v>
      </c>
      <c r="I96" s="1753" t="s">
        <v>2246</v>
      </c>
      <c r="J96" t="s">
        <v>17</v>
      </c>
      <c r="K96" t="s">
        <v>775</v>
      </c>
      <c r="L96" t="s">
        <v>2231</v>
      </c>
      <c r="M96" t="s">
        <v>2232</v>
      </c>
      <c r="N96" t="s">
        <v>392</v>
      </c>
    </row>
    <row r="97" spans="1:14" ht="11.25" customHeight="1">
      <c r="A97" s="1753" t="s">
        <v>2199</v>
      </c>
      <c r="B97" s="1753" t="s">
        <v>14</v>
      </c>
      <c r="C97" s="1753" t="s">
        <v>2532</v>
      </c>
      <c r="D97" s="1753" t="s">
        <v>2533</v>
      </c>
      <c r="E97" s="1753" t="s">
        <v>2534</v>
      </c>
      <c r="F97" s="1753" t="s">
        <v>2259</v>
      </c>
      <c r="G97" s="1753" t="s">
        <v>17</v>
      </c>
      <c r="H97" s="1753" t="s">
        <v>17</v>
      </c>
      <c r="I97" s="1753" t="s">
        <v>2535</v>
      </c>
      <c r="J97" t="s">
        <v>17</v>
      </c>
      <c r="K97" t="s">
        <v>871</v>
      </c>
      <c r="L97" t="s">
        <v>2207</v>
      </c>
      <c r="M97" t="s">
        <v>2208</v>
      </c>
      <c r="N97" t="s">
        <v>392</v>
      </c>
    </row>
    <row r="98" spans="1:14" ht="11.25" customHeight="1">
      <c r="A98" s="1753" t="s">
        <v>2199</v>
      </c>
      <c r="B98" s="1753" t="s">
        <v>14</v>
      </c>
      <c r="C98" s="1753" t="s">
        <v>2536</v>
      </c>
      <c r="D98" s="1753" t="s">
        <v>2537</v>
      </c>
      <c r="E98" s="1753" t="s">
        <v>2538</v>
      </c>
      <c r="F98" s="1753" t="s">
        <v>2539</v>
      </c>
      <c r="G98" s="1753" t="s">
        <v>2540</v>
      </c>
      <c r="H98" s="1753" t="s">
        <v>17</v>
      </c>
      <c r="I98" s="1753" t="s">
        <v>2541</v>
      </c>
      <c r="J98" t="s">
        <v>17</v>
      </c>
      <c r="K98" t="s">
        <v>896</v>
      </c>
      <c r="L98" t="s">
        <v>2283</v>
      </c>
      <c r="M98" t="s">
        <v>2284</v>
      </c>
      <c r="N98" t="s">
        <v>392</v>
      </c>
    </row>
    <row r="99" spans="1:14" ht="11.25" customHeight="1">
      <c r="A99" s="1753" t="s">
        <v>2199</v>
      </c>
      <c r="B99" s="1753" t="s">
        <v>14</v>
      </c>
      <c r="C99" s="1753" t="s">
        <v>2542</v>
      </c>
      <c r="D99" s="1753" t="s">
        <v>2543</v>
      </c>
      <c r="E99" s="1753" t="s">
        <v>2544</v>
      </c>
      <c r="F99" s="1753" t="s">
        <v>2245</v>
      </c>
      <c r="G99" s="1753" t="s">
        <v>17</v>
      </c>
      <c r="H99" s="1753" t="s">
        <v>17</v>
      </c>
      <c r="I99" s="1753" t="s">
        <v>2246</v>
      </c>
      <c r="J99" t="s">
        <v>17</v>
      </c>
      <c r="K99" t="s">
        <v>871</v>
      </c>
      <c r="L99" t="s">
        <v>2207</v>
      </c>
      <c r="M99" t="s">
        <v>2208</v>
      </c>
      <c r="N99" t="s">
        <v>392</v>
      </c>
    </row>
    <row r="100" spans="1:14" ht="11.25" customHeight="1">
      <c r="A100" s="1753" t="s">
        <v>2199</v>
      </c>
      <c r="B100" s="1753" t="s">
        <v>14</v>
      </c>
      <c r="C100" s="1753" t="s">
        <v>2545</v>
      </c>
      <c r="D100" s="1753" t="s">
        <v>2546</v>
      </c>
      <c r="E100" s="1753" t="s">
        <v>2547</v>
      </c>
      <c r="F100" s="1753" t="s">
        <v>2548</v>
      </c>
      <c r="G100" s="1753" t="s">
        <v>17</v>
      </c>
      <c r="H100" s="1753" t="s">
        <v>17</v>
      </c>
      <c r="I100" s="1753" t="s">
        <v>2330</v>
      </c>
      <c r="J100" t="s">
        <v>17</v>
      </c>
      <c r="K100" t="s">
        <v>871</v>
      </c>
      <c r="L100" t="s">
        <v>2207</v>
      </c>
      <c r="M100" t="s">
        <v>2208</v>
      </c>
      <c r="N100" t="s">
        <v>392</v>
      </c>
    </row>
    <row r="101" spans="1:14" ht="11.25" customHeight="1">
      <c r="A101" s="1753" t="s">
        <v>2199</v>
      </c>
      <c r="B101" s="1753" t="s">
        <v>14</v>
      </c>
      <c r="C101" s="1753" t="s">
        <v>2549</v>
      </c>
      <c r="D101" s="1753" t="s">
        <v>2550</v>
      </c>
      <c r="E101" s="1753" t="s">
        <v>2551</v>
      </c>
      <c r="F101" s="1753" t="s">
        <v>2552</v>
      </c>
      <c r="G101" s="1753" t="s">
        <v>17</v>
      </c>
      <c r="H101" s="1753" t="s">
        <v>17</v>
      </c>
      <c r="I101" s="1753" t="s">
        <v>2246</v>
      </c>
      <c r="J101" t="s">
        <v>17</v>
      </c>
      <c r="K101" t="s">
        <v>871</v>
      </c>
      <c r="L101" t="s">
        <v>2207</v>
      </c>
      <c r="M101" t="s">
        <v>2208</v>
      </c>
      <c r="N101" t="s">
        <v>392</v>
      </c>
    </row>
    <row r="102" spans="1:14" ht="11.25" customHeight="1">
      <c r="A102" s="1753" t="s">
        <v>2199</v>
      </c>
      <c r="B102" s="1753" t="s">
        <v>14</v>
      </c>
      <c r="C102" s="1753" t="s">
        <v>2553</v>
      </c>
      <c r="D102" s="1753" t="s">
        <v>2554</v>
      </c>
      <c r="E102" s="1753" t="s">
        <v>2555</v>
      </c>
      <c r="F102" s="1753" t="s">
        <v>2556</v>
      </c>
      <c r="G102" s="1753" t="s">
        <v>17</v>
      </c>
      <c r="H102" s="1753" t="s">
        <v>17</v>
      </c>
      <c r="I102" s="1753" t="s">
        <v>2492</v>
      </c>
      <c r="J102" t="s">
        <v>17</v>
      </c>
      <c r="K102" t="s">
        <v>871</v>
      </c>
      <c r="L102" t="s">
        <v>2207</v>
      </c>
      <c r="M102" t="s">
        <v>2208</v>
      </c>
      <c r="N102" t="s">
        <v>392</v>
      </c>
    </row>
    <row r="103" spans="1:14" ht="11.25" customHeight="1">
      <c r="A103" s="1753" t="s">
        <v>2199</v>
      </c>
      <c r="B103" s="1753" t="s">
        <v>14</v>
      </c>
      <c r="C103" s="1753" t="s">
        <v>2557</v>
      </c>
      <c r="D103" s="1753" t="s">
        <v>2558</v>
      </c>
      <c r="E103" s="1753" t="s">
        <v>2559</v>
      </c>
      <c r="F103" s="1753" t="s">
        <v>2420</v>
      </c>
      <c r="G103" s="1753" t="s">
        <v>17</v>
      </c>
      <c r="H103" s="1753" t="s">
        <v>17</v>
      </c>
      <c r="I103" s="1753" t="s">
        <v>2330</v>
      </c>
      <c r="J103" t="s">
        <v>17</v>
      </c>
      <c r="K103" t="s">
        <v>871</v>
      </c>
      <c r="L103" t="s">
        <v>2207</v>
      </c>
      <c r="M103" t="s">
        <v>2208</v>
      </c>
      <c r="N103" t="s">
        <v>392</v>
      </c>
    </row>
    <row r="104" spans="1:14" ht="11.25" customHeight="1">
      <c r="A104" s="1753" t="s">
        <v>2199</v>
      </c>
      <c r="B104" s="1753" t="s">
        <v>14</v>
      </c>
      <c r="C104" s="1753" t="s">
        <v>2560</v>
      </c>
      <c r="D104" s="1753" t="s">
        <v>2561</v>
      </c>
      <c r="E104" s="1753" t="s">
        <v>2562</v>
      </c>
      <c r="F104" s="1753" t="s">
        <v>2264</v>
      </c>
      <c r="G104" s="1753" t="s">
        <v>17</v>
      </c>
      <c r="H104" s="1753" t="s">
        <v>17</v>
      </c>
      <c r="I104" s="1753" t="s">
        <v>2563</v>
      </c>
      <c r="J104" t="s">
        <v>17</v>
      </c>
      <c r="K104" t="s">
        <v>871</v>
      </c>
      <c r="L104" t="s">
        <v>2207</v>
      </c>
      <c r="M104" t="s">
        <v>2208</v>
      </c>
      <c r="N104" t="s">
        <v>392</v>
      </c>
    </row>
    <row r="105" spans="1:14" ht="11.25" customHeight="1">
      <c r="A105" s="1753" t="s">
        <v>2199</v>
      </c>
      <c r="B105" s="1753" t="s">
        <v>14</v>
      </c>
      <c r="C105" s="1753" t="s">
        <v>2564</v>
      </c>
      <c r="D105" s="1753" t="s">
        <v>2565</v>
      </c>
      <c r="E105" s="1753" t="s">
        <v>2566</v>
      </c>
      <c r="F105" s="1753" t="s">
        <v>2259</v>
      </c>
      <c r="G105" s="1753" t="s">
        <v>17</v>
      </c>
      <c r="H105" s="1753" t="s">
        <v>17</v>
      </c>
      <c r="I105" s="1753" t="s">
        <v>2567</v>
      </c>
      <c r="J105" t="s">
        <v>17</v>
      </c>
      <c r="K105" t="s">
        <v>896</v>
      </c>
      <c r="L105" t="s">
        <v>2283</v>
      </c>
      <c r="M105" t="s">
        <v>2284</v>
      </c>
      <c r="N105" t="s">
        <v>392</v>
      </c>
    </row>
    <row r="106" spans="1:14" ht="11.25" customHeight="1">
      <c r="A106" s="1753" t="s">
        <v>2199</v>
      </c>
      <c r="B106" s="1753" t="s">
        <v>14</v>
      </c>
      <c r="C106" s="1753" t="s">
        <v>2568</v>
      </c>
      <c r="D106" s="1753" t="s">
        <v>2569</v>
      </c>
      <c r="E106" s="1753" t="s">
        <v>2570</v>
      </c>
      <c r="F106" s="1753" t="s">
        <v>2548</v>
      </c>
      <c r="G106" s="1753" t="s">
        <v>17</v>
      </c>
      <c r="H106" s="1753" t="s">
        <v>17</v>
      </c>
      <c r="I106" s="1753" t="s">
        <v>2330</v>
      </c>
      <c r="J106" t="s">
        <v>17</v>
      </c>
      <c r="K106" t="s">
        <v>871</v>
      </c>
      <c r="L106" t="s">
        <v>2207</v>
      </c>
      <c r="M106" t="s">
        <v>2208</v>
      </c>
      <c r="N106" t="s">
        <v>392</v>
      </c>
    </row>
    <row r="107" spans="1:14" ht="11.25" customHeight="1">
      <c r="A107" s="1753" t="s">
        <v>2199</v>
      </c>
      <c r="B107" s="1753" t="s">
        <v>14</v>
      </c>
      <c r="C107" s="1753" t="s">
        <v>2571</v>
      </c>
      <c r="D107" s="1753" t="s">
        <v>2572</v>
      </c>
      <c r="E107" s="1753" t="s">
        <v>2573</v>
      </c>
      <c r="F107" s="1753" t="s">
        <v>2539</v>
      </c>
      <c r="G107" s="1753" t="s">
        <v>17</v>
      </c>
      <c r="H107" s="1753" t="s">
        <v>17</v>
      </c>
      <c r="I107" s="1753" t="s">
        <v>2330</v>
      </c>
      <c r="J107" t="s">
        <v>17</v>
      </c>
      <c r="K107" t="s">
        <v>871</v>
      </c>
      <c r="L107" t="s">
        <v>2207</v>
      </c>
      <c r="M107" t="s">
        <v>2208</v>
      </c>
      <c r="N107" t="s">
        <v>392</v>
      </c>
    </row>
    <row r="108" spans="1:14" ht="11.25" customHeight="1">
      <c r="A108" s="1753" t="s">
        <v>2199</v>
      </c>
      <c r="B108" s="1753" t="s">
        <v>14</v>
      </c>
      <c r="C108" s="1753" t="s">
        <v>2574</v>
      </c>
      <c r="D108" s="1753" t="s">
        <v>2575</v>
      </c>
      <c r="E108" s="1753" t="s">
        <v>2576</v>
      </c>
      <c r="F108" s="1753" t="s">
        <v>2539</v>
      </c>
      <c r="G108" s="1753" t="s">
        <v>17</v>
      </c>
      <c r="H108" s="1753" t="s">
        <v>17</v>
      </c>
      <c r="I108" s="1753" t="s">
        <v>2330</v>
      </c>
      <c r="J108" t="s">
        <v>17</v>
      </c>
      <c r="K108" t="s">
        <v>871</v>
      </c>
      <c r="L108" t="s">
        <v>2207</v>
      </c>
      <c r="M108" t="s">
        <v>2208</v>
      </c>
      <c r="N108" t="s">
        <v>392</v>
      </c>
    </row>
    <row r="109" spans="1:14" ht="11.25" customHeight="1">
      <c r="A109" s="1753" t="s">
        <v>2199</v>
      </c>
      <c r="B109" s="1753" t="s">
        <v>14</v>
      </c>
      <c r="C109" s="1753" t="s">
        <v>2577</v>
      </c>
      <c r="D109" s="1753" t="s">
        <v>2578</v>
      </c>
      <c r="E109" s="1753" t="s">
        <v>2579</v>
      </c>
      <c r="F109" s="1753" t="s">
        <v>2539</v>
      </c>
      <c r="G109" s="1753" t="s">
        <v>17</v>
      </c>
      <c r="H109" s="1753" t="s">
        <v>17</v>
      </c>
      <c r="I109" s="1753" t="s">
        <v>2330</v>
      </c>
      <c r="J109" t="s">
        <v>17</v>
      </c>
      <c r="K109" t="s">
        <v>871</v>
      </c>
      <c r="L109" t="s">
        <v>2207</v>
      </c>
      <c r="M109" t="s">
        <v>2208</v>
      </c>
      <c r="N109" t="s">
        <v>392</v>
      </c>
    </row>
    <row r="110" spans="1:14" ht="11.25" customHeight="1">
      <c r="A110" s="1753" t="s">
        <v>2199</v>
      </c>
      <c r="B110" s="1753" t="s">
        <v>14</v>
      </c>
      <c r="C110" s="1753" t="s">
        <v>2580</v>
      </c>
      <c r="D110" s="1753" t="s">
        <v>2581</v>
      </c>
      <c r="E110" s="1753" t="s">
        <v>2582</v>
      </c>
      <c r="F110" s="1753" t="s">
        <v>2539</v>
      </c>
      <c r="G110" s="1753" t="s">
        <v>17</v>
      </c>
      <c r="H110" s="1753" t="s">
        <v>17</v>
      </c>
      <c r="I110" s="1753" t="s">
        <v>2330</v>
      </c>
      <c r="J110" t="s">
        <v>17</v>
      </c>
      <c r="K110" t="s">
        <v>871</v>
      </c>
      <c r="L110" t="s">
        <v>2207</v>
      </c>
      <c r="M110" t="s">
        <v>2208</v>
      </c>
      <c r="N110" t="s">
        <v>392</v>
      </c>
    </row>
    <row r="111" spans="1:14" ht="11.25" customHeight="1">
      <c r="A111" s="1753" t="s">
        <v>2199</v>
      </c>
      <c r="B111" s="1753" t="s">
        <v>14</v>
      </c>
      <c r="C111" s="1753" t="s">
        <v>2583</v>
      </c>
      <c r="D111" s="1753" t="s">
        <v>2584</v>
      </c>
      <c r="E111" s="1753" t="s">
        <v>2585</v>
      </c>
      <c r="F111" s="1753" t="s">
        <v>2539</v>
      </c>
      <c r="G111" s="1753" t="s">
        <v>17</v>
      </c>
      <c r="H111" s="1753" t="s">
        <v>17</v>
      </c>
      <c r="I111" s="1753" t="s">
        <v>2330</v>
      </c>
      <c r="J111" t="s">
        <v>17</v>
      </c>
      <c r="K111" t="s">
        <v>871</v>
      </c>
      <c r="L111" t="s">
        <v>2207</v>
      </c>
      <c r="M111" t="s">
        <v>2208</v>
      </c>
      <c r="N111" t="s">
        <v>392</v>
      </c>
    </row>
    <row r="112" spans="1:14" ht="11.25" customHeight="1">
      <c r="A112" s="1753" t="s">
        <v>2199</v>
      </c>
      <c r="B112" s="1753" t="s">
        <v>14</v>
      </c>
      <c r="C112" s="1753" t="s">
        <v>2586</v>
      </c>
      <c r="D112" s="1753" t="s">
        <v>2587</v>
      </c>
      <c r="E112" s="1753" t="s">
        <v>2588</v>
      </c>
      <c r="F112" s="1753" t="s">
        <v>2589</v>
      </c>
      <c r="G112" s="1753" t="s">
        <v>17</v>
      </c>
      <c r="H112" s="1753" t="s">
        <v>17</v>
      </c>
      <c r="I112" s="1753" t="s">
        <v>2246</v>
      </c>
      <c r="J112" t="s">
        <v>17</v>
      </c>
      <c r="K112" t="s">
        <v>871</v>
      </c>
      <c r="L112" t="s">
        <v>2207</v>
      </c>
      <c r="M112" t="s">
        <v>2208</v>
      </c>
      <c r="N112" t="s">
        <v>392</v>
      </c>
    </row>
    <row r="113" spans="1:14" ht="11.25" customHeight="1">
      <c r="A113" s="1753" t="s">
        <v>2199</v>
      </c>
      <c r="B113" s="1753" t="s">
        <v>14</v>
      </c>
      <c r="C113" s="1753" t="s">
        <v>2590</v>
      </c>
      <c r="D113" s="1753" t="s">
        <v>2591</v>
      </c>
      <c r="E113" s="1753" t="s">
        <v>2592</v>
      </c>
      <c r="F113" s="1753" t="s">
        <v>2539</v>
      </c>
      <c r="G113" s="1753" t="s">
        <v>17</v>
      </c>
      <c r="H113" s="1753" t="s">
        <v>17</v>
      </c>
      <c r="I113" s="1753" t="s">
        <v>2330</v>
      </c>
      <c r="J113" t="s">
        <v>17</v>
      </c>
      <c r="K113" t="s">
        <v>871</v>
      </c>
      <c r="L113" t="s">
        <v>2207</v>
      </c>
      <c r="M113" t="s">
        <v>2208</v>
      </c>
      <c r="N113" t="s">
        <v>392</v>
      </c>
    </row>
    <row r="114" spans="1:14" ht="11.25" customHeight="1">
      <c r="A114" s="1753" t="s">
        <v>2199</v>
      </c>
      <c r="B114" s="1753" t="s">
        <v>14</v>
      </c>
      <c r="C114" s="1753" t="s">
        <v>2593</v>
      </c>
      <c r="D114" s="1753" t="s">
        <v>2594</v>
      </c>
      <c r="E114" s="1753" t="s">
        <v>2595</v>
      </c>
      <c r="F114" s="1753" t="s">
        <v>2596</v>
      </c>
      <c r="G114" s="1753" t="s">
        <v>17</v>
      </c>
      <c r="H114" s="1753" t="s">
        <v>17</v>
      </c>
      <c r="I114" s="1753" t="s">
        <v>2330</v>
      </c>
      <c r="J114" t="s">
        <v>17</v>
      </c>
      <c r="K114" t="s">
        <v>896</v>
      </c>
      <c r="L114" t="s">
        <v>2283</v>
      </c>
      <c r="M114" t="s">
        <v>2284</v>
      </c>
      <c r="N114" t="s">
        <v>392</v>
      </c>
    </row>
    <row r="115" spans="1:14" ht="11.25" customHeight="1">
      <c r="A115" s="1753" t="s">
        <v>2199</v>
      </c>
      <c r="B115" s="1753" t="s">
        <v>14</v>
      </c>
      <c r="C115" s="1753" t="s">
        <v>2597</v>
      </c>
      <c r="D115" s="1753" t="s">
        <v>2598</v>
      </c>
      <c r="E115" s="1753" t="s">
        <v>2599</v>
      </c>
      <c r="F115" s="1753" t="s">
        <v>2404</v>
      </c>
      <c r="G115" s="1753" t="s">
        <v>17</v>
      </c>
      <c r="H115" s="1753" t="s">
        <v>17</v>
      </c>
      <c r="I115" s="1753" t="s">
        <v>2563</v>
      </c>
      <c r="J115" t="s">
        <v>17</v>
      </c>
      <c r="K115" t="s">
        <v>871</v>
      </c>
      <c r="L115" t="s">
        <v>2207</v>
      </c>
      <c r="M115" t="s">
        <v>2208</v>
      </c>
      <c r="N115" t="s">
        <v>392</v>
      </c>
    </row>
    <row r="116" spans="1:14" ht="11.25" customHeight="1">
      <c r="A116" s="1753" t="s">
        <v>2199</v>
      </c>
      <c r="B116" s="1753" t="s">
        <v>14</v>
      </c>
      <c r="C116" s="1753" t="s">
        <v>2600</v>
      </c>
      <c r="D116" s="1753" t="s">
        <v>2601</v>
      </c>
      <c r="E116" s="1753" t="s">
        <v>2602</v>
      </c>
      <c r="F116" s="1753" t="s">
        <v>2603</v>
      </c>
      <c r="G116" s="1753" t="s">
        <v>17</v>
      </c>
      <c r="H116" s="1753" t="s">
        <v>17</v>
      </c>
      <c r="I116" s="1753" t="s">
        <v>2330</v>
      </c>
      <c r="J116" t="s">
        <v>17</v>
      </c>
      <c r="K116" t="s">
        <v>871</v>
      </c>
      <c r="L116" t="s">
        <v>2207</v>
      </c>
      <c r="M116" t="s">
        <v>2208</v>
      </c>
      <c r="N116" t="s">
        <v>392</v>
      </c>
    </row>
    <row r="117" spans="1:14" ht="11.25" customHeight="1">
      <c r="A117" s="1753" t="s">
        <v>2199</v>
      </c>
      <c r="B117" s="1753" t="s">
        <v>14</v>
      </c>
      <c r="C117" s="1753" t="s">
        <v>2604</v>
      </c>
      <c r="D117" s="1753" t="s">
        <v>2605</v>
      </c>
      <c r="E117" s="1753" t="s">
        <v>2606</v>
      </c>
      <c r="F117" s="1753" t="s">
        <v>2245</v>
      </c>
      <c r="G117" s="1753" t="s">
        <v>17</v>
      </c>
      <c r="H117" s="1753" t="s">
        <v>17</v>
      </c>
      <c r="I117" s="1753" t="s">
        <v>2246</v>
      </c>
      <c r="J117" t="s">
        <v>17</v>
      </c>
      <c r="K117" t="s">
        <v>871</v>
      </c>
      <c r="L117" t="s">
        <v>2207</v>
      </c>
      <c r="M117" t="s">
        <v>2208</v>
      </c>
      <c r="N117" t="s">
        <v>392</v>
      </c>
    </row>
    <row r="118" spans="1:14" ht="11.25" customHeight="1">
      <c r="A118" s="1753" t="s">
        <v>2199</v>
      </c>
      <c r="B118" s="1753" t="s">
        <v>14</v>
      </c>
      <c r="C118" s="1753" t="s">
        <v>2607</v>
      </c>
      <c r="D118" s="1753" t="s">
        <v>2608</v>
      </c>
      <c r="E118" s="1753" t="s">
        <v>2609</v>
      </c>
      <c r="F118" s="1753" t="s">
        <v>2603</v>
      </c>
      <c r="G118" s="1753" t="s">
        <v>17</v>
      </c>
      <c r="H118" s="1753" t="s">
        <v>17</v>
      </c>
      <c r="I118" s="1753" t="s">
        <v>2330</v>
      </c>
      <c r="J118" t="s">
        <v>17</v>
      </c>
      <c r="K118" t="s">
        <v>871</v>
      </c>
      <c r="L118" t="s">
        <v>2207</v>
      </c>
      <c r="M118" t="s">
        <v>2208</v>
      </c>
      <c r="N118" t="s">
        <v>392</v>
      </c>
    </row>
    <row r="119" spans="1:14" ht="11.25" customHeight="1">
      <c r="A119" s="1753" t="s">
        <v>2199</v>
      </c>
      <c r="B119" s="1753" t="s">
        <v>14</v>
      </c>
      <c r="C119" s="1753" t="s">
        <v>2610</v>
      </c>
      <c r="D119" s="1753" t="s">
        <v>2611</v>
      </c>
      <c r="E119" s="1753" t="s">
        <v>2612</v>
      </c>
      <c r="F119" s="1753" t="s">
        <v>2589</v>
      </c>
      <c r="G119" s="1753" t="s">
        <v>17</v>
      </c>
      <c r="H119" s="1753" t="s">
        <v>17</v>
      </c>
      <c r="I119" s="1753" t="s">
        <v>2246</v>
      </c>
      <c r="J119" t="s">
        <v>17</v>
      </c>
      <c r="K119" t="s">
        <v>871</v>
      </c>
      <c r="L119" t="s">
        <v>2207</v>
      </c>
      <c r="M119" t="s">
        <v>2208</v>
      </c>
      <c r="N119" t="s">
        <v>392</v>
      </c>
    </row>
    <row r="120" spans="1:14" ht="11.25" customHeight="1">
      <c r="A120" s="1753" t="s">
        <v>2199</v>
      </c>
      <c r="B120" s="1753" t="s">
        <v>14</v>
      </c>
      <c r="C120" s="1753" t="s">
        <v>2613</v>
      </c>
      <c r="D120" s="1753" t="s">
        <v>2614</v>
      </c>
      <c r="E120" s="1753" t="s">
        <v>2615</v>
      </c>
      <c r="F120" s="1753" t="s">
        <v>2245</v>
      </c>
      <c r="G120" s="1753" t="s">
        <v>17</v>
      </c>
      <c r="H120" s="1753" t="s">
        <v>17</v>
      </c>
      <c r="I120" s="1753" t="s">
        <v>2246</v>
      </c>
      <c r="J120" t="s">
        <v>17</v>
      </c>
      <c r="K120" t="s">
        <v>871</v>
      </c>
      <c r="L120" t="s">
        <v>2207</v>
      </c>
      <c r="M120" t="s">
        <v>2208</v>
      </c>
      <c r="N120" t="s">
        <v>392</v>
      </c>
    </row>
    <row r="121" spans="1:14" ht="11.25" customHeight="1">
      <c r="A121" s="1753" t="s">
        <v>2199</v>
      </c>
      <c r="B121" s="1753" t="s">
        <v>14</v>
      </c>
      <c r="C121" s="1753" t="s">
        <v>2616</v>
      </c>
      <c r="D121" s="1753" t="s">
        <v>2617</v>
      </c>
      <c r="E121" s="1753" t="s">
        <v>2618</v>
      </c>
      <c r="F121" s="1753" t="s">
        <v>2245</v>
      </c>
      <c r="G121" s="1753" t="s">
        <v>17</v>
      </c>
      <c r="H121" s="1753" t="s">
        <v>17</v>
      </c>
      <c r="I121" s="1753" t="s">
        <v>2246</v>
      </c>
      <c r="J121" t="s">
        <v>17</v>
      </c>
      <c r="K121" t="s">
        <v>871</v>
      </c>
      <c r="L121" t="s">
        <v>2207</v>
      </c>
      <c r="M121" t="s">
        <v>2208</v>
      </c>
      <c r="N121" t="s">
        <v>392</v>
      </c>
    </row>
    <row r="122" spans="1:14" ht="11.25" customHeight="1">
      <c r="A122" s="1753" t="s">
        <v>2199</v>
      </c>
      <c r="B122" s="1753" t="s">
        <v>14</v>
      </c>
      <c r="C122" s="1753" t="s">
        <v>2619</v>
      </c>
      <c r="D122" s="1753" t="s">
        <v>2620</v>
      </c>
      <c r="E122" s="1753" t="s">
        <v>2621</v>
      </c>
      <c r="F122" s="1753" t="s">
        <v>2622</v>
      </c>
      <c r="G122" s="1753" t="s">
        <v>17</v>
      </c>
      <c r="H122" s="1753" t="s">
        <v>17</v>
      </c>
      <c r="I122" s="1753" t="s">
        <v>2330</v>
      </c>
      <c r="J122" t="s">
        <v>17</v>
      </c>
      <c r="K122" t="s">
        <v>871</v>
      </c>
      <c r="L122" t="s">
        <v>2207</v>
      </c>
      <c r="M122" t="s">
        <v>2208</v>
      </c>
      <c r="N122" t="s">
        <v>392</v>
      </c>
    </row>
    <row r="123" spans="1:14" ht="11.25" customHeight="1">
      <c r="A123" s="1753" t="s">
        <v>2199</v>
      </c>
      <c r="B123" s="1753" t="s">
        <v>14</v>
      </c>
      <c r="C123" s="1753" t="s">
        <v>2623</v>
      </c>
      <c r="D123" s="1753" t="s">
        <v>2624</v>
      </c>
      <c r="E123" s="1753" t="s">
        <v>2625</v>
      </c>
      <c r="F123" s="1753" t="s">
        <v>2420</v>
      </c>
      <c r="G123" s="1753" t="s">
        <v>17</v>
      </c>
      <c r="H123" s="1753" t="s">
        <v>17</v>
      </c>
      <c r="I123" s="1753" t="s">
        <v>2330</v>
      </c>
      <c r="J123" t="s">
        <v>17</v>
      </c>
      <c r="K123" t="s">
        <v>871</v>
      </c>
      <c r="L123" t="s">
        <v>2207</v>
      </c>
      <c r="M123" t="s">
        <v>2208</v>
      </c>
      <c r="N123" t="s">
        <v>392</v>
      </c>
    </row>
    <row r="124" spans="1:14" ht="11.25" customHeight="1">
      <c r="A124" s="1753" t="s">
        <v>2199</v>
      </c>
      <c r="B124" s="1753" t="s">
        <v>14</v>
      </c>
      <c r="C124" s="1753" t="s">
        <v>2626</v>
      </c>
      <c r="D124" s="1753" t="s">
        <v>2627</v>
      </c>
      <c r="E124" s="1753" t="s">
        <v>2628</v>
      </c>
      <c r="F124" s="1753" t="s">
        <v>2539</v>
      </c>
      <c r="G124" s="1753" t="s">
        <v>17</v>
      </c>
      <c r="H124" s="1753" t="s">
        <v>17</v>
      </c>
      <c r="I124" s="1753" t="s">
        <v>2330</v>
      </c>
      <c r="J124" t="s">
        <v>17</v>
      </c>
      <c r="K124" t="s">
        <v>871</v>
      </c>
      <c r="L124" t="s">
        <v>2207</v>
      </c>
      <c r="M124" t="s">
        <v>2208</v>
      </c>
      <c r="N124" t="s">
        <v>392</v>
      </c>
    </row>
    <row r="125" spans="1:14" ht="11.25" customHeight="1">
      <c r="A125" s="1753" t="s">
        <v>2199</v>
      </c>
      <c r="B125" s="1753" t="s">
        <v>14</v>
      </c>
      <c r="C125" s="1753" t="s">
        <v>2629</v>
      </c>
      <c r="D125" s="1753" t="s">
        <v>2630</v>
      </c>
      <c r="E125" s="1753" t="s">
        <v>2631</v>
      </c>
      <c r="F125" s="1753" t="s">
        <v>2632</v>
      </c>
      <c r="G125" s="1753" t="s">
        <v>17</v>
      </c>
      <c r="H125" s="1753" t="s">
        <v>17</v>
      </c>
      <c r="I125" s="1753" t="s">
        <v>2330</v>
      </c>
      <c r="J125" t="s">
        <v>17</v>
      </c>
      <c r="K125" t="s">
        <v>871</v>
      </c>
      <c r="L125" t="s">
        <v>2207</v>
      </c>
      <c r="M125" t="s">
        <v>2208</v>
      </c>
      <c r="N125" t="s">
        <v>392</v>
      </c>
    </row>
    <row r="126" spans="1:14" ht="11.25" customHeight="1">
      <c r="A126" s="1753" t="s">
        <v>2199</v>
      </c>
      <c r="B126" s="1753" t="s">
        <v>14</v>
      </c>
      <c r="C126" s="1753" t="s">
        <v>2633</v>
      </c>
      <c r="D126" s="1753" t="s">
        <v>2634</v>
      </c>
      <c r="E126" s="1753" t="s">
        <v>2635</v>
      </c>
      <c r="F126" s="1753" t="s">
        <v>2255</v>
      </c>
      <c r="G126" s="1753" t="s">
        <v>17</v>
      </c>
      <c r="H126" s="1753" t="s">
        <v>17</v>
      </c>
      <c r="I126" s="1753" t="s">
        <v>2246</v>
      </c>
      <c r="J126" t="s">
        <v>17</v>
      </c>
      <c r="K126" t="s">
        <v>871</v>
      </c>
      <c r="L126" t="s">
        <v>2207</v>
      </c>
      <c r="M126" t="s">
        <v>2208</v>
      </c>
      <c r="N126" t="s">
        <v>392</v>
      </c>
    </row>
    <row r="127" spans="1:14" ht="11.25" customHeight="1">
      <c r="A127" s="1753" t="s">
        <v>2199</v>
      </c>
      <c r="B127" s="1753" t="s">
        <v>14</v>
      </c>
      <c r="C127" s="1753" t="s">
        <v>2636</v>
      </c>
      <c r="D127" s="1753" t="s">
        <v>2637</v>
      </c>
      <c r="E127" s="1753" t="s">
        <v>2638</v>
      </c>
      <c r="F127" s="1753" t="s">
        <v>2639</v>
      </c>
      <c r="G127" s="1753" t="s">
        <v>17</v>
      </c>
      <c r="H127" s="1753" t="s">
        <v>17</v>
      </c>
      <c r="I127" s="1753" t="s">
        <v>2330</v>
      </c>
      <c r="J127" t="s">
        <v>17</v>
      </c>
      <c r="K127" t="s">
        <v>871</v>
      </c>
      <c r="L127" t="s">
        <v>2207</v>
      </c>
      <c r="M127" t="s">
        <v>2208</v>
      </c>
      <c r="N127" t="s">
        <v>392</v>
      </c>
    </row>
    <row r="128" spans="1:14" ht="11.25" customHeight="1">
      <c r="A128" s="1753" t="s">
        <v>2199</v>
      </c>
      <c r="B128" s="1753" t="s">
        <v>14</v>
      </c>
      <c r="C128" s="1753" t="s">
        <v>2640</v>
      </c>
      <c r="D128" s="1753" t="s">
        <v>2641</v>
      </c>
      <c r="E128" s="1753" t="s">
        <v>2642</v>
      </c>
      <c r="F128" s="1753" t="s">
        <v>2539</v>
      </c>
      <c r="G128" s="1753" t="s">
        <v>17</v>
      </c>
      <c r="H128" s="1753" t="s">
        <v>17</v>
      </c>
      <c r="I128" s="1753" t="s">
        <v>2330</v>
      </c>
      <c r="J128" t="s">
        <v>17</v>
      </c>
      <c r="K128" t="s">
        <v>871</v>
      </c>
      <c r="L128" t="s">
        <v>2207</v>
      </c>
      <c r="M128" t="s">
        <v>2208</v>
      </c>
      <c r="N128" t="s">
        <v>392</v>
      </c>
    </row>
    <row r="129" spans="1:14" ht="11.25" customHeight="1">
      <c r="A129" s="1753" t="s">
        <v>2199</v>
      </c>
      <c r="B129" s="1753" t="s">
        <v>14</v>
      </c>
      <c r="C129" s="1753" t="s">
        <v>2643</v>
      </c>
      <c r="D129" s="1753" t="s">
        <v>2644</v>
      </c>
      <c r="E129" s="1753" t="s">
        <v>2645</v>
      </c>
      <c r="F129" s="1753" t="s">
        <v>2548</v>
      </c>
      <c r="G129" s="1753" t="s">
        <v>17</v>
      </c>
      <c r="H129" s="1753" t="s">
        <v>17</v>
      </c>
      <c r="I129" s="1753" t="s">
        <v>2330</v>
      </c>
      <c r="J129" t="s">
        <v>17</v>
      </c>
      <c r="K129" t="s">
        <v>871</v>
      </c>
      <c r="L129" t="s">
        <v>2207</v>
      </c>
      <c r="M129" t="s">
        <v>2208</v>
      </c>
      <c r="N129" t="s">
        <v>392</v>
      </c>
    </row>
    <row r="130" spans="1:14" ht="11.25" customHeight="1">
      <c r="A130" s="1753" t="s">
        <v>2199</v>
      </c>
      <c r="B130" s="1753" t="s">
        <v>14</v>
      </c>
      <c r="C130" s="1753" t="s">
        <v>2646</v>
      </c>
      <c r="D130" s="1753" t="s">
        <v>2647</v>
      </c>
      <c r="E130" s="1753" t="s">
        <v>2648</v>
      </c>
      <c r="F130" s="1753" t="s">
        <v>2649</v>
      </c>
      <c r="G130" s="1753" t="s">
        <v>17</v>
      </c>
      <c r="H130" s="1753" t="s">
        <v>17</v>
      </c>
      <c r="I130" s="1753" t="s">
        <v>2330</v>
      </c>
      <c r="J130" t="s">
        <v>17</v>
      </c>
      <c r="K130" t="s">
        <v>871</v>
      </c>
      <c r="L130" t="s">
        <v>2207</v>
      </c>
      <c r="M130" t="s">
        <v>2208</v>
      </c>
      <c r="N130" t="s">
        <v>392</v>
      </c>
    </row>
    <row r="131" spans="1:14" ht="11.25" customHeight="1">
      <c r="A131" s="1753" t="s">
        <v>2199</v>
      </c>
      <c r="B131" s="1753" t="s">
        <v>14</v>
      </c>
      <c r="C131" s="1753" t="s">
        <v>2650</v>
      </c>
      <c r="D131" s="1753" t="s">
        <v>2651</v>
      </c>
      <c r="E131" s="1753" t="s">
        <v>2652</v>
      </c>
      <c r="F131" s="1753" t="s">
        <v>2653</v>
      </c>
      <c r="G131" s="1753" t="s">
        <v>17</v>
      </c>
      <c r="H131" s="1753" t="s">
        <v>17</v>
      </c>
      <c r="I131" s="1753" t="s">
        <v>2330</v>
      </c>
      <c r="J131" t="s">
        <v>17</v>
      </c>
      <c r="K131" t="s">
        <v>871</v>
      </c>
      <c r="L131" t="s">
        <v>2207</v>
      </c>
      <c r="M131" t="s">
        <v>2208</v>
      </c>
      <c r="N131" t="s">
        <v>392</v>
      </c>
    </row>
    <row r="132" spans="1:14" ht="11.25" customHeight="1">
      <c r="A132" s="1753" t="s">
        <v>2199</v>
      </c>
      <c r="B132" s="1753" t="s">
        <v>14</v>
      </c>
      <c r="C132" s="1753" t="s">
        <v>2654</v>
      </c>
      <c r="D132" s="1753" t="s">
        <v>2655</v>
      </c>
      <c r="E132" s="1753" t="s">
        <v>2656</v>
      </c>
      <c r="F132" s="1753" t="s">
        <v>2264</v>
      </c>
      <c r="G132" s="1753" t="s">
        <v>17</v>
      </c>
      <c r="H132" s="1753" t="s">
        <v>17</v>
      </c>
      <c r="I132" s="1753" t="s">
        <v>2657</v>
      </c>
      <c r="J132" t="s">
        <v>17</v>
      </c>
      <c r="K132" t="s">
        <v>871</v>
      </c>
      <c r="L132" t="s">
        <v>2207</v>
      </c>
      <c r="M132" t="s">
        <v>2208</v>
      </c>
      <c r="N132" t="s">
        <v>392</v>
      </c>
    </row>
    <row r="133" spans="1:14" ht="11.25" customHeight="1">
      <c r="A133" s="1753" t="s">
        <v>2199</v>
      </c>
      <c r="B133" s="1753" t="s">
        <v>14</v>
      </c>
      <c r="C133" s="1753" t="s">
        <v>2658</v>
      </c>
      <c r="D133" s="1753" t="s">
        <v>2659</v>
      </c>
      <c r="E133" s="1753" t="s">
        <v>2660</v>
      </c>
      <c r="F133" s="1753" t="s">
        <v>2412</v>
      </c>
      <c r="G133" s="1753" t="s">
        <v>17</v>
      </c>
      <c r="H133" s="1753" t="s">
        <v>17</v>
      </c>
      <c r="I133" s="1753" t="s">
        <v>2661</v>
      </c>
      <c r="J133" t="s">
        <v>17</v>
      </c>
      <c r="K133" t="s">
        <v>871</v>
      </c>
      <c r="L133" t="s">
        <v>2207</v>
      </c>
      <c r="M133" t="s">
        <v>2208</v>
      </c>
      <c r="N133" t="s">
        <v>392</v>
      </c>
    </row>
    <row r="134" spans="1:14" ht="11.25" customHeight="1">
      <c r="A134" s="1753" t="s">
        <v>2199</v>
      </c>
      <c r="B134" s="1753" t="s">
        <v>14</v>
      </c>
      <c r="C134" s="1753" t="s">
        <v>2662</v>
      </c>
      <c r="D134" s="1753" t="s">
        <v>2663</v>
      </c>
      <c r="E134" s="1753" t="s">
        <v>2664</v>
      </c>
      <c r="F134" s="1753" t="s">
        <v>2665</v>
      </c>
      <c r="G134" s="1753" t="s">
        <v>2666</v>
      </c>
      <c r="H134" s="1753" t="s">
        <v>17</v>
      </c>
      <c r="I134" s="1753" t="s">
        <v>2330</v>
      </c>
      <c r="J134" t="s">
        <v>17</v>
      </c>
      <c r="K134" t="s">
        <v>871</v>
      </c>
      <c r="L134" t="s">
        <v>2207</v>
      </c>
      <c r="M134" t="s">
        <v>2208</v>
      </c>
      <c r="N134" t="s">
        <v>392</v>
      </c>
    </row>
    <row r="135" spans="1:14" ht="11.25" customHeight="1">
      <c r="A135" s="1753" t="s">
        <v>2199</v>
      </c>
      <c r="B135" s="1753" t="s">
        <v>14</v>
      </c>
      <c r="C135" s="1753" t="s">
        <v>2667</v>
      </c>
      <c r="D135" s="1753" t="s">
        <v>2668</v>
      </c>
      <c r="E135" s="1753" t="s">
        <v>2669</v>
      </c>
      <c r="F135" s="1753" t="s">
        <v>2670</v>
      </c>
      <c r="G135" s="1753" t="s">
        <v>17</v>
      </c>
      <c r="H135" s="1753" t="s">
        <v>17</v>
      </c>
      <c r="I135" s="1753" t="s">
        <v>2307</v>
      </c>
      <c r="J135" t="s">
        <v>17</v>
      </c>
      <c r="K135" t="s">
        <v>871</v>
      </c>
      <c r="L135" t="s">
        <v>2207</v>
      </c>
      <c r="M135" t="s">
        <v>2208</v>
      </c>
      <c r="N135" t="s">
        <v>392</v>
      </c>
    </row>
    <row r="136" spans="1:14" ht="11.25" customHeight="1">
      <c r="A136" s="1753" t="s">
        <v>2199</v>
      </c>
      <c r="B136" s="1753" t="s">
        <v>14</v>
      </c>
      <c r="C136" s="1753" t="s">
        <v>2671</v>
      </c>
      <c r="D136" s="1753" t="s">
        <v>2672</v>
      </c>
      <c r="E136" s="1753" t="s">
        <v>2673</v>
      </c>
      <c r="F136" s="1753" t="s">
        <v>2420</v>
      </c>
      <c r="G136" s="1753" t="s">
        <v>17</v>
      </c>
      <c r="H136" s="1753" t="s">
        <v>17</v>
      </c>
      <c r="I136" s="1753" t="s">
        <v>2330</v>
      </c>
      <c r="J136" t="s">
        <v>17</v>
      </c>
      <c r="K136" t="s">
        <v>896</v>
      </c>
      <c r="L136" t="s">
        <v>2283</v>
      </c>
      <c r="M136" t="s">
        <v>2284</v>
      </c>
      <c r="N136" t="s">
        <v>392</v>
      </c>
    </row>
    <row r="137" spans="1:14" ht="11.25" customHeight="1">
      <c r="A137" s="1753" t="s">
        <v>2199</v>
      </c>
      <c r="B137" s="1753" t="s">
        <v>14</v>
      </c>
      <c r="C137" s="1753" t="s">
        <v>2674</v>
      </c>
      <c r="D137" s="1753" t="s">
        <v>2675</v>
      </c>
      <c r="E137" s="1753" t="s">
        <v>2676</v>
      </c>
      <c r="F137" s="1753" t="s">
        <v>2677</v>
      </c>
      <c r="G137" s="1753" t="s">
        <v>17</v>
      </c>
      <c r="H137" s="1753" t="s">
        <v>17</v>
      </c>
      <c r="I137" s="1753" t="s">
        <v>2330</v>
      </c>
      <c r="J137" t="s">
        <v>17</v>
      </c>
      <c r="K137" t="s">
        <v>871</v>
      </c>
      <c r="L137" t="s">
        <v>2207</v>
      </c>
      <c r="M137" t="s">
        <v>2208</v>
      </c>
      <c r="N137" t="s">
        <v>392</v>
      </c>
    </row>
    <row r="138" spans="1:14" ht="11.25" customHeight="1">
      <c r="A138" s="1753" t="s">
        <v>2199</v>
      </c>
      <c r="B138" s="1753" t="s">
        <v>14</v>
      </c>
      <c r="C138" s="1753" t="s">
        <v>2678</v>
      </c>
      <c r="D138" s="1753" t="s">
        <v>2679</v>
      </c>
      <c r="E138" s="1753" t="s">
        <v>2680</v>
      </c>
      <c r="F138" s="1753" t="s">
        <v>2457</v>
      </c>
      <c r="G138" s="1753" t="s">
        <v>17</v>
      </c>
      <c r="H138" s="1753" t="s">
        <v>17</v>
      </c>
      <c r="I138" s="1753" t="s">
        <v>2469</v>
      </c>
      <c r="J138" t="s">
        <v>17</v>
      </c>
      <c r="K138" t="s">
        <v>871</v>
      </c>
      <c r="L138" t="s">
        <v>2207</v>
      </c>
      <c r="M138" t="s">
        <v>2208</v>
      </c>
      <c r="N138" t="s">
        <v>392</v>
      </c>
    </row>
    <row r="139" spans="1:14" ht="11.25" customHeight="1">
      <c r="A139" s="1753" t="s">
        <v>2199</v>
      </c>
      <c r="B139" s="1753" t="s">
        <v>14</v>
      </c>
      <c r="C139" s="1753" t="s">
        <v>2681</v>
      </c>
      <c r="D139" s="1753" t="s">
        <v>2682</v>
      </c>
      <c r="E139" s="1753" t="s">
        <v>2683</v>
      </c>
      <c r="F139" s="1753" t="s">
        <v>2684</v>
      </c>
      <c r="G139" s="1753" t="s">
        <v>17</v>
      </c>
      <c r="H139" s="1753" t="s">
        <v>17</v>
      </c>
      <c r="I139" s="1753" t="s">
        <v>2330</v>
      </c>
      <c r="J139" t="s">
        <v>17</v>
      </c>
      <c r="K139" t="s">
        <v>871</v>
      </c>
      <c r="L139" t="s">
        <v>2207</v>
      </c>
      <c r="M139" t="s">
        <v>2208</v>
      </c>
      <c r="N139" t="s">
        <v>392</v>
      </c>
    </row>
    <row r="140" spans="1:14" ht="11.25" customHeight="1">
      <c r="A140" s="1753" t="s">
        <v>2199</v>
      </c>
      <c r="B140" s="1753" t="s">
        <v>14</v>
      </c>
      <c r="C140" s="1753" t="s">
        <v>2685</v>
      </c>
      <c r="D140" s="1753" t="s">
        <v>2686</v>
      </c>
      <c r="E140" s="1753" t="s">
        <v>2687</v>
      </c>
      <c r="F140" s="1753" t="s">
        <v>2424</v>
      </c>
      <c r="G140" s="1753" t="s">
        <v>2688</v>
      </c>
      <c r="H140" s="1753" t="s">
        <v>17</v>
      </c>
      <c r="I140" s="1753" t="s">
        <v>2330</v>
      </c>
      <c r="J140" t="s">
        <v>17</v>
      </c>
      <c r="K140" t="s">
        <v>871</v>
      </c>
      <c r="L140" t="s">
        <v>2207</v>
      </c>
      <c r="M140" t="s">
        <v>2208</v>
      </c>
      <c r="N140" t="s">
        <v>392</v>
      </c>
    </row>
    <row r="141" spans="1:14" ht="11.25" customHeight="1">
      <c r="A141" s="1753" t="s">
        <v>2199</v>
      </c>
      <c r="B141" s="1753" t="s">
        <v>14</v>
      </c>
      <c r="C141" s="1753" t="s">
        <v>2689</v>
      </c>
      <c r="D141" s="1753" t="s">
        <v>2690</v>
      </c>
      <c r="E141" s="1753" t="s">
        <v>2691</v>
      </c>
      <c r="F141" s="1753" t="s">
        <v>2424</v>
      </c>
      <c r="G141" s="1753" t="s">
        <v>17</v>
      </c>
      <c r="H141" s="1753" t="s">
        <v>17</v>
      </c>
      <c r="I141" s="1753" t="s">
        <v>2330</v>
      </c>
      <c r="J141" t="s">
        <v>17</v>
      </c>
      <c r="K141" t="s">
        <v>775</v>
      </c>
      <c r="L141" t="s">
        <v>2231</v>
      </c>
      <c r="M141" t="s">
        <v>2232</v>
      </c>
      <c r="N141" t="s">
        <v>392</v>
      </c>
    </row>
    <row r="142" spans="1:14" ht="11.25" customHeight="1">
      <c r="A142" s="1753" t="s">
        <v>2199</v>
      </c>
      <c r="B142" s="1753" t="s">
        <v>14</v>
      </c>
      <c r="C142" s="1753" t="s">
        <v>2692</v>
      </c>
      <c r="D142" s="1753" t="s">
        <v>2693</v>
      </c>
      <c r="E142" s="1753" t="s">
        <v>2694</v>
      </c>
      <c r="F142" s="1753" t="s">
        <v>2695</v>
      </c>
      <c r="G142" s="1753" t="s">
        <v>17</v>
      </c>
      <c r="H142" s="1753" t="s">
        <v>17</v>
      </c>
      <c r="I142" s="1753" t="s">
        <v>2330</v>
      </c>
      <c r="J142" t="s">
        <v>17</v>
      </c>
      <c r="K142" t="s">
        <v>871</v>
      </c>
      <c r="L142" t="s">
        <v>2207</v>
      </c>
      <c r="M142" t="s">
        <v>2208</v>
      </c>
      <c r="N142" t="s">
        <v>392</v>
      </c>
    </row>
    <row r="143" spans="1:14" ht="11.25" customHeight="1">
      <c r="A143" s="1753" t="s">
        <v>2199</v>
      </c>
      <c r="B143" s="1753" t="s">
        <v>14</v>
      </c>
      <c r="C143" s="1753" t="s">
        <v>2696</v>
      </c>
      <c r="D143" s="1753" t="s">
        <v>2697</v>
      </c>
      <c r="E143" s="1753" t="s">
        <v>2698</v>
      </c>
      <c r="F143" s="1753" t="s">
        <v>2539</v>
      </c>
      <c r="G143" s="1753" t="s">
        <v>17</v>
      </c>
      <c r="H143" s="1753" t="s">
        <v>17</v>
      </c>
      <c r="I143" s="1753" t="s">
        <v>2330</v>
      </c>
      <c r="J143" t="s">
        <v>17</v>
      </c>
      <c r="K143" t="s">
        <v>871</v>
      </c>
      <c r="L143" t="s">
        <v>2207</v>
      </c>
      <c r="M143" t="s">
        <v>2208</v>
      </c>
      <c r="N143" t="s">
        <v>392</v>
      </c>
    </row>
    <row r="144" spans="1:14" ht="11.25" customHeight="1">
      <c r="A144" s="1753" t="s">
        <v>2199</v>
      </c>
      <c r="B144" s="1753" t="s">
        <v>14</v>
      </c>
      <c r="C144" s="1753" t="s">
        <v>2699</v>
      </c>
      <c r="D144" s="1753" t="s">
        <v>2700</v>
      </c>
      <c r="E144" s="1753" t="s">
        <v>2701</v>
      </c>
      <c r="F144" s="1753" t="s">
        <v>2653</v>
      </c>
      <c r="G144" s="1753" t="s">
        <v>17</v>
      </c>
      <c r="H144" s="1753" t="s">
        <v>17</v>
      </c>
      <c r="I144" s="1753" t="s">
        <v>2330</v>
      </c>
      <c r="J144" t="s">
        <v>17</v>
      </c>
      <c r="K144" t="s">
        <v>871</v>
      </c>
      <c r="L144" t="s">
        <v>2207</v>
      </c>
      <c r="M144" t="s">
        <v>2208</v>
      </c>
      <c r="N144" t="s">
        <v>392</v>
      </c>
    </row>
    <row r="145" spans="1:14" ht="11.25" customHeight="1">
      <c r="A145" s="1753" t="s">
        <v>2199</v>
      </c>
      <c r="B145" s="1753" t="s">
        <v>14</v>
      </c>
      <c r="C145" s="1753" t="s">
        <v>2702</v>
      </c>
      <c r="D145" s="1753" t="s">
        <v>2703</v>
      </c>
      <c r="E145" s="1753" t="s">
        <v>2704</v>
      </c>
      <c r="F145" s="1753" t="s">
        <v>2705</v>
      </c>
      <c r="G145" s="1753" t="s">
        <v>17</v>
      </c>
      <c r="H145" s="1753" t="s">
        <v>17</v>
      </c>
      <c r="I145" s="1753" t="s">
        <v>2246</v>
      </c>
      <c r="J145" t="s">
        <v>17</v>
      </c>
      <c r="K145" t="s">
        <v>871</v>
      </c>
      <c r="L145" t="s">
        <v>2207</v>
      </c>
      <c r="M145" t="s">
        <v>2208</v>
      </c>
      <c r="N145" t="s">
        <v>392</v>
      </c>
    </row>
    <row r="146" spans="1:14" ht="11.25" customHeight="1">
      <c r="A146" s="1753" t="s">
        <v>2199</v>
      </c>
      <c r="B146" s="1753" t="s">
        <v>14</v>
      </c>
      <c r="C146" s="1753" t="s">
        <v>2706</v>
      </c>
      <c r="D146" s="1753" t="s">
        <v>2707</v>
      </c>
      <c r="E146" s="1753" t="s">
        <v>2708</v>
      </c>
      <c r="F146" s="1753" t="s">
        <v>2653</v>
      </c>
      <c r="G146" s="1753" t="s">
        <v>17</v>
      </c>
      <c r="H146" s="1753" t="s">
        <v>17</v>
      </c>
      <c r="I146" s="1753" t="s">
        <v>2330</v>
      </c>
      <c r="J146" t="s">
        <v>17</v>
      </c>
      <c r="K146" t="s">
        <v>896</v>
      </c>
      <c r="L146" t="s">
        <v>2283</v>
      </c>
      <c r="M146" t="s">
        <v>2284</v>
      </c>
      <c r="N146" t="s">
        <v>392</v>
      </c>
    </row>
    <row r="147" spans="1:14" ht="11.25" customHeight="1">
      <c r="A147" s="1753" t="s">
        <v>2199</v>
      </c>
      <c r="B147" s="1753" t="s">
        <v>14</v>
      </c>
      <c r="C147" s="1753" t="s">
        <v>2709</v>
      </c>
      <c r="D147" s="1753" t="s">
        <v>2710</v>
      </c>
      <c r="E147" s="1753" t="s">
        <v>2711</v>
      </c>
      <c r="F147" s="1753" t="s">
        <v>2203</v>
      </c>
      <c r="G147" s="1753" t="s">
        <v>17</v>
      </c>
      <c r="H147" s="1753" t="s">
        <v>17</v>
      </c>
      <c r="I147" s="1753" t="s">
        <v>2214</v>
      </c>
      <c r="J147" t="s">
        <v>17</v>
      </c>
      <c r="K147" t="s">
        <v>871</v>
      </c>
      <c r="L147" t="s">
        <v>2207</v>
      </c>
      <c r="M147" t="s">
        <v>2208</v>
      </c>
      <c r="N147" t="s">
        <v>392</v>
      </c>
    </row>
    <row r="148" spans="1:14" ht="11.25" customHeight="1">
      <c r="A148" s="1753" t="s">
        <v>2199</v>
      </c>
      <c r="B148" s="1753" t="s">
        <v>14</v>
      </c>
      <c r="C148" s="1753" t="s">
        <v>2712</v>
      </c>
      <c r="D148" s="1753" t="s">
        <v>2713</v>
      </c>
      <c r="E148" s="1753" t="s">
        <v>2714</v>
      </c>
      <c r="F148" s="1753" t="s">
        <v>2474</v>
      </c>
      <c r="G148" s="1753" t="s">
        <v>17</v>
      </c>
      <c r="H148" s="1753" t="s">
        <v>17</v>
      </c>
      <c r="I148" s="1753" t="s">
        <v>2715</v>
      </c>
      <c r="J148" t="s">
        <v>17</v>
      </c>
      <c r="K148" t="s">
        <v>871</v>
      </c>
      <c r="L148" t="s">
        <v>2207</v>
      </c>
      <c r="M148" t="s">
        <v>2208</v>
      </c>
      <c r="N148" t="s">
        <v>392</v>
      </c>
    </row>
    <row r="149" spans="1:14" ht="11.25" customHeight="1">
      <c r="A149" s="1753" t="s">
        <v>2199</v>
      </c>
      <c r="B149" s="1753" t="s">
        <v>14</v>
      </c>
      <c r="C149" s="1753" t="s">
        <v>2716</v>
      </c>
      <c r="D149" s="1753" t="s">
        <v>2717</v>
      </c>
      <c r="E149" s="1753" t="s">
        <v>2718</v>
      </c>
      <c r="F149" s="1753" t="s">
        <v>2719</v>
      </c>
      <c r="G149" s="1753" t="s">
        <v>17</v>
      </c>
      <c r="H149" s="1753" t="s">
        <v>17</v>
      </c>
      <c r="I149" s="1753" t="s">
        <v>2444</v>
      </c>
      <c r="J149" t="s">
        <v>17</v>
      </c>
      <c r="K149" t="s">
        <v>871</v>
      </c>
      <c r="L149" t="s">
        <v>2207</v>
      </c>
      <c r="M149" t="s">
        <v>2208</v>
      </c>
      <c r="N149" t="s">
        <v>392</v>
      </c>
    </row>
    <row r="150" spans="1:14" ht="11.25" customHeight="1">
      <c r="A150" s="1753" t="s">
        <v>2199</v>
      </c>
      <c r="B150" s="1753" t="s">
        <v>14</v>
      </c>
      <c r="C150" s="1753" t="s">
        <v>2720</v>
      </c>
      <c r="D150" s="1753" t="s">
        <v>2721</v>
      </c>
      <c r="E150" s="1753" t="s">
        <v>2718</v>
      </c>
      <c r="F150" s="1753" t="s">
        <v>2722</v>
      </c>
      <c r="G150" s="1753" t="s">
        <v>17</v>
      </c>
      <c r="H150" s="1753" t="s">
        <v>17</v>
      </c>
      <c r="I150" s="1753" t="s">
        <v>2444</v>
      </c>
      <c r="J150" t="s">
        <v>17</v>
      </c>
      <c r="K150" t="s">
        <v>871</v>
      </c>
      <c r="L150" t="s">
        <v>2207</v>
      </c>
      <c r="M150" t="s">
        <v>2208</v>
      </c>
      <c r="N150" t="s">
        <v>392</v>
      </c>
    </row>
    <row r="151" spans="1:14" ht="11.25" customHeight="1">
      <c r="A151" s="1753" t="s">
        <v>2199</v>
      </c>
      <c r="B151" s="1753" t="s">
        <v>14</v>
      </c>
      <c r="C151" s="1753" t="s">
        <v>2723</v>
      </c>
      <c r="D151" s="1753" t="s">
        <v>2724</v>
      </c>
      <c r="E151" s="1753" t="s">
        <v>2725</v>
      </c>
      <c r="F151" s="1753" t="s">
        <v>2474</v>
      </c>
      <c r="G151" s="1753" t="s">
        <v>17</v>
      </c>
      <c r="H151" s="1753" t="s">
        <v>17</v>
      </c>
      <c r="I151" s="1753" t="s">
        <v>2214</v>
      </c>
      <c r="J151" t="s">
        <v>17</v>
      </c>
      <c r="K151" t="s">
        <v>871</v>
      </c>
      <c r="L151" t="s">
        <v>2207</v>
      </c>
      <c r="M151" t="s">
        <v>2208</v>
      </c>
      <c r="N151" t="s">
        <v>392</v>
      </c>
    </row>
    <row r="152" spans="1:14" ht="11.25" customHeight="1">
      <c r="A152" s="1753" t="s">
        <v>2199</v>
      </c>
      <c r="B152" s="1753" t="s">
        <v>14</v>
      </c>
      <c r="C152" s="1753" t="s">
        <v>2726</v>
      </c>
      <c r="D152" s="1753" t="s">
        <v>2727</v>
      </c>
      <c r="E152" s="1753" t="s">
        <v>2728</v>
      </c>
      <c r="F152" s="1753" t="s">
        <v>2213</v>
      </c>
      <c r="G152" s="1753" t="s">
        <v>17</v>
      </c>
      <c r="H152" s="1753" t="s">
        <v>17</v>
      </c>
      <c r="I152" s="1753" t="s">
        <v>2214</v>
      </c>
      <c r="J152" t="s">
        <v>17</v>
      </c>
      <c r="K152" t="s">
        <v>871</v>
      </c>
      <c r="L152" t="s">
        <v>2207</v>
      </c>
      <c r="M152" t="s">
        <v>2208</v>
      </c>
      <c r="N152" t="s">
        <v>392</v>
      </c>
    </row>
    <row r="153" spans="1:14" ht="11.25" customHeight="1">
      <c r="A153" s="1753" t="s">
        <v>2199</v>
      </c>
      <c r="B153" s="1753" t="s">
        <v>14</v>
      </c>
      <c r="C153" s="1753" t="s">
        <v>2729</v>
      </c>
      <c r="D153" s="1753" t="s">
        <v>2730</v>
      </c>
      <c r="E153" s="1753" t="s">
        <v>2731</v>
      </c>
      <c r="F153" s="1753" t="s">
        <v>2732</v>
      </c>
      <c r="G153" s="1753" t="s">
        <v>17</v>
      </c>
      <c r="H153" s="1753" t="s">
        <v>17</v>
      </c>
      <c r="I153" s="1753" t="s">
        <v>2330</v>
      </c>
      <c r="J153" t="s">
        <v>17</v>
      </c>
      <c r="K153" t="s">
        <v>871</v>
      </c>
      <c r="L153" t="s">
        <v>2207</v>
      </c>
      <c r="M153" t="s">
        <v>2208</v>
      </c>
      <c r="N153" t="s">
        <v>392</v>
      </c>
    </row>
    <row r="154" spans="1:14" ht="11.25" customHeight="1">
      <c r="A154" s="1753" t="s">
        <v>2199</v>
      </c>
      <c r="B154" s="1753" t="s">
        <v>14</v>
      </c>
      <c r="C154" s="1753" t="s">
        <v>2733</v>
      </c>
      <c r="D154" s="1753" t="s">
        <v>2734</v>
      </c>
      <c r="E154" s="1753" t="s">
        <v>2735</v>
      </c>
      <c r="F154" s="1753" t="s">
        <v>2589</v>
      </c>
      <c r="G154" s="1753" t="s">
        <v>17</v>
      </c>
      <c r="H154" s="1753" t="s">
        <v>17</v>
      </c>
      <c r="I154" s="1753" t="s">
        <v>2246</v>
      </c>
      <c r="J154" t="s">
        <v>17</v>
      </c>
      <c r="K154" t="s">
        <v>871</v>
      </c>
      <c r="L154" t="s">
        <v>2207</v>
      </c>
      <c r="M154" t="s">
        <v>2208</v>
      </c>
      <c r="N154" t="s">
        <v>392</v>
      </c>
    </row>
    <row r="155" spans="1:14" ht="11.25" customHeight="1">
      <c r="A155" s="1753" t="s">
        <v>2199</v>
      </c>
      <c r="B155" s="1753" t="s">
        <v>14</v>
      </c>
      <c r="C155" s="1753" t="s">
        <v>2736</v>
      </c>
      <c r="D155" s="1753" t="s">
        <v>2737</v>
      </c>
      <c r="E155" s="1753" t="s">
        <v>2738</v>
      </c>
      <c r="F155" s="1753" t="s">
        <v>2301</v>
      </c>
      <c r="G155" s="1753" t="s">
        <v>17</v>
      </c>
      <c r="H155" s="1753" t="s">
        <v>17</v>
      </c>
      <c r="I155" s="1753" t="s">
        <v>2297</v>
      </c>
      <c r="J155" t="s">
        <v>17</v>
      </c>
      <c r="K155" t="s">
        <v>871</v>
      </c>
      <c r="L155" t="s">
        <v>2207</v>
      </c>
      <c r="M155" t="s">
        <v>2208</v>
      </c>
      <c r="N155" t="s">
        <v>392</v>
      </c>
    </row>
    <row r="156" spans="1:14" ht="11.25" customHeight="1">
      <c r="A156" s="1753" t="s">
        <v>2199</v>
      </c>
      <c r="B156" s="1753" t="s">
        <v>14</v>
      </c>
      <c r="C156" s="1753" t="s">
        <v>2739</v>
      </c>
      <c r="D156" s="1753" t="s">
        <v>2740</v>
      </c>
      <c r="E156" s="1753" t="s">
        <v>2741</v>
      </c>
      <c r="F156" s="1753" t="s">
        <v>2273</v>
      </c>
      <c r="G156" s="1753" t="s">
        <v>17</v>
      </c>
      <c r="H156" s="1753" t="s">
        <v>17</v>
      </c>
      <c r="I156" s="1753" t="s">
        <v>2742</v>
      </c>
      <c r="J156" t="s">
        <v>17</v>
      </c>
      <c r="K156" t="s">
        <v>871</v>
      </c>
      <c r="L156" t="s">
        <v>2207</v>
      </c>
      <c r="M156" t="s">
        <v>2208</v>
      </c>
      <c r="N156" t="s">
        <v>392</v>
      </c>
    </row>
    <row r="157" spans="1:14" ht="11.25" customHeight="1">
      <c r="A157" s="1753" t="s">
        <v>2199</v>
      </c>
      <c r="B157" s="1753" t="s">
        <v>14</v>
      </c>
      <c r="C157" s="1753" t="s">
        <v>2743</v>
      </c>
      <c r="D157" s="1753" t="s">
        <v>2744</v>
      </c>
      <c r="E157" s="1753" t="s">
        <v>2745</v>
      </c>
      <c r="F157" s="1753" t="s">
        <v>2746</v>
      </c>
      <c r="G157" s="1753" t="s">
        <v>17</v>
      </c>
      <c r="H157" s="1753" t="s">
        <v>17</v>
      </c>
      <c r="I157" s="1753" t="s">
        <v>2330</v>
      </c>
      <c r="J157" t="s">
        <v>17</v>
      </c>
      <c r="K157" t="s">
        <v>871</v>
      </c>
      <c r="L157" t="s">
        <v>2207</v>
      </c>
      <c r="M157" t="s">
        <v>2208</v>
      </c>
      <c r="N157" t="s">
        <v>392</v>
      </c>
    </row>
    <row r="158" spans="1:14" ht="11.25" customHeight="1">
      <c r="A158" s="1753" t="s">
        <v>2199</v>
      </c>
      <c r="B158" s="1753" t="s">
        <v>14</v>
      </c>
      <c r="C158" s="1753" t="s">
        <v>2747</v>
      </c>
      <c r="D158" s="1753" t="s">
        <v>2748</v>
      </c>
      <c r="E158" s="1753" t="s">
        <v>2749</v>
      </c>
      <c r="F158" s="1753" t="s">
        <v>2273</v>
      </c>
      <c r="G158" s="1753" t="s">
        <v>17</v>
      </c>
      <c r="H158" s="1753" t="s">
        <v>17</v>
      </c>
      <c r="I158" s="1753" t="s">
        <v>2541</v>
      </c>
      <c r="J158" t="s">
        <v>17</v>
      </c>
      <c r="K158" t="s">
        <v>775</v>
      </c>
      <c r="L158" t="s">
        <v>2231</v>
      </c>
      <c r="M158" t="s">
        <v>2232</v>
      </c>
      <c r="N158" t="s">
        <v>392</v>
      </c>
    </row>
    <row r="159" spans="1:14" ht="11.25" customHeight="1">
      <c r="A159" s="1753" t="s">
        <v>2199</v>
      </c>
      <c r="B159" s="1753" t="s">
        <v>14</v>
      </c>
      <c r="C159" s="1753" t="s">
        <v>2750</v>
      </c>
      <c r="D159" s="1753" t="s">
        <v>2751</v>
      </c>
      <c r="E159" s="1753" t="s">
        <v>2752</v>
      </c>
      <c r="F159" s="1753" t="s">
        <v>2732</v>
      </c>
      <c r="G159" s="1753" t="s">
        <v>17</v>
      </c>
      <c r="H159" s="1753" t="s">
        <v>17</v>
      </c>
      <c r="I159" s="1753" t="s">
        <v>2330</v>
      </c>
      <c r="J159" t="s">
        <v>17</v>
      </c>
      <c r="K159" t="s">
        <v>871</v>
      </c>
      <c r="L159" t="s">
        <v>2207</v>
      </c>
      <c r="M159" t="s">
        <v>2208</v>
      </c>
      <c r="N159" t="s">
        <v>392</v>
      </c>
    </row>
    <row r="160" spans="1:14" ht="11.25" customHeight="1">
      <c r="A160" s="1753" t="s">
        <v>2199</v>
      </c>
      <c r="B160" s="1753" t="s">
        <v>14</v>
      </c>
      <c r="C160" s="1753" t="s">
        <v>2753</v>
      </c>
      <c r="D160" s="1753" t="s">
        <v>45</v>
      </c>
      <c r="E160" s="1753" t="s">
        <v>48</v>
      </c>
      <c r="F160" s="1753" t="s">
        <v>50</v>
      </c>
      <c r="G160" s="1753" t="s">
        <v>17</v>
      </c>
      <c r="H160" s="1753" t="s">
        <v>17</v>
      </c>
      <c r="I160" s="1753" t="s">
        <v>2214</v>
      </c>
      <c r="J160" t="s">
        <v>17</v>
      </c>
      <c r="K160" t="s">
        <v>931</v>
      </c>
      <c r="L160" t="s">
        <v>2754</v>
      </c>
      <c r="M160" t="s">
        <v>2755</v>
      </c>
      <c r="N160" t="s">
        <v>392</v>
      </c>
    </row>
    <row r="161" spans="1:14" ht="11.25" customHeight="1">
      <c r="A161" s="1753" t="s">
        <v>2199</v>
      </c>
      <c r="B161" s="1753" t="s">
        <v>14</v>
      </c>
      <c r="C161" s="1753" t="s">
        <v>2753</v>
      </c>
      <c r="D161" s="1753" t="s">
        <v>45</v>
      </c>
      <c r="E161" s="1753" t="s">
        <v>48</v>
      </c>
      <c r="F161" s="1753" t="s">
        <v>50</v>
      </c>
      <c r="G161" s="1753" t="s">
        <v>17</v>
      </c>
      <c r="H161" s="1753" t="s">
        <v>17</v>
      </c>
      <c r="I161" s="1753" t="s">
        <v>2214</v>
      </c>
      <c r="J161" t="s">
        <v>17</v>
      </c>
      <c r="K161" t="s">
        <v>839</v>
      </c>
      <c r="L161" t="s">
        <v>2754</v>
      </c>
      <c r="M161" t="s">
        <v>2755</v>
      </c>
      <c r="N161" t="s">
        <v>392</v>
      </c>
    </row>
    <row r="162" spans="1:14" ht="11.25" customHeight="1">
      <c r="A162" s="1753" t="s">
        <v>2199</v>
      </c>
      <c r="B162" s="1753" t="s">
        <v>14</v>
      </c>
      <c r="C162" s="1753" t="s">
        <v>2756</v>
      </c>
      <c r="D162" s="1753" t="s">
        <v>2757</v>
      </c>
      <c r="E162" s="1753" t="s">
        <v>2399</v>
      </c>
      <c r="F162" s="1753" t="s">
        <v>2223</v>
      </c>
      <c r="G162" s="1753" t="s">
        <v>17</v>
      </c>
      <c r="H162" s="1753" t="s">
        <v>17</v>
      </c>
      <c r="I162" s="1753" t="s">
        <v>2214</v>
      </c>
      <c r="J162" t="s">
        <v>17</v>
      </c>
      <c r="K162" t="s">
        <v>871</v>
      </c>
      <c r="L162" t="s">
        <v>2207</v>
      </c>
      <c r="M162" t="s">
        <v>2208</v>
      </c>
      <c r="N162" t="s">
        <v>392</v>
      </c>
    </row>
    <row r="163" spans="1:14" ht="11.25" customHeight="1">
      <c r="A163" s="1753" t="s">
        <v>2199</v>
      </c>
      <c r="B163" s="1753" t="s">
        <v>14</v>
      </c>
      <c r="C163" s="1753" t="s">
        <v>2758</v>
      </c>
      <c r="D163" s="1753" t="s">
        <v>2759</v>
      </c>
      <c r="E163" s="1753" t="s">
        <v>2760</v>
      </c>
      <c r="F163" s="1753" t="s">
        <v>2301</v>
      </c>
      <c r="G163" s="1753" t="s">
        <v>17</v>
      </c>
      <c r="H163" s="1753" t="s">
        <v>17</v>
      </c>
      <c r="I163" s="1753" t="s">
        <v>2715</v>
      </c>
      <c r="J163" t="s">
        <v>17</v>
      </c>
      <c r="K163" t="s">
        <v>871</v>
      </c>
      <c r="L163" t="s">
        <v>2207</v>
      </c>
      <c r="M163" t="s">
        <v>2208</v>
      </c>
      <c r="N163" t="s">
        <v>392</v>
      </c>
    </row>
    <row r="164" spans="1:14" ht="11.25" customHeight="1">
      <c r="A164" s="1753" t="s">
        <v>2199</v>
      </c>
      <c r="B164" s="1753" t="s">
        <v>14</v>
      </c>
      <c r="C164" s="1753" t="s">
        <v>2758</v>
      </c>
      <c r="D164" s="1753" t="s">
        <v>2759</v>
      </c>
      <c r="E164" s="1753" t="s">
        <v>2760</v>
      </c>
      <c r="F164" s="1753" t="s">
        <v>2301</v>
      </c>
      <c r="G164" s="1753" t="s">
        <v>17</v>
      </c>
      <c r="H164" s="1753" t="s">
        <v>17</v>
      </c>
      <c r="I164" s="1753" t="s">
        <v>2330</v>
      </c>
      <c r="J164" t="s">
        <v>17</v>
      </c>
      <c r="K164" t="s">
        <v>871</v>
      </c>
      <c r="L164" t="s">
        <v>2207</v>
      </c>
      <c r="M164" t="s">
        <v>2208</v>
      </c>
      <c r="N164" t="s">
        <v>392</v>
      </c>
    </row>
    <row r="165" spans="1:14" ht="11.25" customHeight="1">
      <c r="A165" s="1753" t="s">
        <v>2199</v>
      </c>
      <c r="B165" s="1753" t="s">
        <v>14</v>
      </c>
      <c r="C165" s="1753" t="s">
        <v>2758</v>
      </c>
      <c r="D165" s="1753" t="s">
        <v>2759</v>
      </c>
      <c r="E165" s="1753" t="s">
        <v>2760</v>
      </c>
      <c r="F165" s="1753" t="s">
        <v>2301</v>
      </c>
      <c r="G165" s="1753" t="s">
        <v>17</v>
      </c>
      <c r="H165" s="1753" t="s">
        <v>17</v>
      </c>
      <c r="I165" s="1753" t="s">
        <v>2469</v>
      </c>
      <c r="J165" t="s">
        <v>17</v>
      </c>
      <c r="K165" t="s">
        <v>871</v>
      </c>
      <c r="L165" t="s">
        <v>2207</v>
      </c>
      <c r="M165" t="s">
        <v>2208</v>
      </c>
      <c r="N165" t="s">
        <v>392</v>
      </c>
    </row>
    <row r="166" spans="1:14" ht="11.25" customHeight="1">
      <c r="A166" s="1753" t="s">
        <v>2199</v>
      </c>
      <c r="B166" s="1753" t="s">
        <v>14</v>
      </c>
      <c r="C166" s="1753" t="s">
        <v>2761</v>
      </c>
      <c r="D166" s="1753" t="s">
        <v>2762</v>
      </c>
      <c r="E166" s="1753" t="s">
        <v>2763</v>
      </c>
      <c r="F166" s="1753" t="s">
        <v>2268</v>
      </c>
      <c r="G166" s="1753" t="s">
        <v>17</v>
      </c>
      <c r="H166" s="1753" t="s">
        <v>17</v>
      </c>
      <c r="I166" s="1753" t="s">
        <v>2246</v>
      </c>
      <c r="J166" t="s">
        <v>17</v>
      </c>
      <c r="K166" t="s">
        <v>871</v>
      </c>
      <c r="L166" t="s">
        <v>2207</v>
      </c>
      <c r="M166" t="s">
        <v>2208</v>
      </c>
      <c r="N166" t="s">
        <v>392</v>
      </c>
    </row>
    <row r="167" spans="1:14" ht="11.25" customHeight="1">
      <c r="A167" s="1753" t="s">
        <v>2199</v>
      </c>
      <c r="B167" s="1753" t="s">
        <v>14</v>
      </c>
      <c r="C167" s="1753" t="s">
        <v>2761</v>
      </c>
      <c r="D167" s="1753" t="s">
        <v>2762</v>
      </c>
      <c r="E167" s="1753" t="s">
        <v>2763</v>
      </c>
      <c r="F167" s="1753" t="s">
        <v>2268</v>
      </c>
      <c r="G167" s="1753" t="s">
        <v>17</v>
      </c>
      <c r="H167" s="1753" t="s">
        <v>17</v>
      </c>
      <c r="I167" s="1753" t="s">
        <v>2330</v>
      </c>
      <c r="J167" t="s">
        <v>17</v>
      </c>
      <c r="K167" t="s">
        <v>871</v>
      </c>
      <c r="L167" t="s">
        <v>2207</v>
      </c>
      <c r="M167" t="s">
        <v>2208</v>
      </c>
      <c r="N167" t="s">
        <v>392</v>
      </c>
    </row>
    <row r="168" spans="1:14" ht="11.25" customHeight="1">
      <c r="A168" s="1753" t="s">
        <v>2199</v>
      </c>
      <c r="B168" s="1753" t="s">
        <v>14</v>
      </c>
      <c r="C168" s="1753" t="s">
        <v>2764</v>
      </c>
      <c r="D168" s="1753" t="s">
        <v>2765</v>
      </c>
      <c r="E168" s="1753" t="s">
        <v>2766</v>
      </c>
      <c r="F168" s="1753" t="s">
        <v>2301</v>
      </c>
      <c r="G168" s="1753" t="s">
        <v>17</v>
      </c>
      <c r="H168" s="1753" t="s">
        <v>17</v>
      </c>
      <c r="I168" s="1753" t="s">
        <v>2330</v>
      </c>
      <c r="J168" t="s">
        <v>17</v>
      </c>
      <c r="K168" t="s">
        <v>871</v>
      </c>
      <c r="L168" t="s">
        <v>2207</v>
      </c>
      <c r="M168" t="s">
        <v>2208</v>
      </c>
      <c r="N168" t="s">
        <v>392</v>
      </c>
    </row>
    <row r="169" spans="1:14" ht="11.25" customHeight="1">
      <c r="A169" s="1753" t="s">
        <v>2199</v>
      </c>
      <c r="B169" s="1753" t="s">
        <v>14</v>
      </c>
      <c r="C169" s="1753" t="s">
        <v>2767</v>
      </c>
      <c r="D169" s="1753" t="s">
        <v>2768</v>
      </c>
      <c r="E169" s="1753" t="s">
        <v>2769</v>
      </c>
      <c r="F169" s="1753" t="s">
        <v>2268</v>
      </c>
      <c r="G169" s="1753" t="s">
        <v>17</v>
      </c>
      <c r="H169" s="1753" t="s">
        <v>17</v>
      </c>
      <c r="I169" s="1753" t="s">
        <v>2770</v>
      </c>
      <c r="J169" t="s">
        <v>17</v>
      </c>
      <c r="K169" t="s">
        <v>871</v>
      </c>
      <c r="L169" t="s">
        <v>2207</v>
      </c>
      <c r="M169" t="s">
        <v>2208</v>
      </c>
      <c r="N169" t="s">
        <v>392</v>
      </c>
    </row>
    <row r="170" spans="1:14" ht="11.25" customHeight="1">
      <c r="A170" s="1753" t="s">
        <v>2199</v>
      </c>
      <c r="B170" s="1753" t="s">
        <v>14</v>
      </c>
      <c r="C170" s="1753" t="s">
        <v>2767</v>
      </c>
      <c r="D170" s="1753" t="s">
        <v>2768</v>
      </c>
      <c r="E170" s="1753" t="s">
        <v>2769</v>
      </c>
      <c r="F170" s="1753" t="s">
        <v>2268</v>
      </c>
      <c r="G170" s="1753" t="s">
        <v>17</v>
      </c>
      <c r="H170" s="1753" t="s">
        <v>17</v>
      </c>
      <c r="I170" s="1753" t="s">
        <v>2330</v>
      </c>
      <c r="J170" t="s">
        <v>17</v>
      </c>
      <c r="K170" t="s">
        <v>871</v>
      </c>
      <c r="L170" t="s">
        <v>2207</v>
      </c>
      <c r="M170" t="s">
        <v>2208</v>
      </c>
      <c r="N170" t="s">
        <v>392</v>
      </c>
    </row>
    <row r="171" spans="1:14" ht="11.25" customHeight="1">
      <c r="A171" s="1753" t="s">
        <v>2199</v>
      </c>
      <c r="B171" s="1753" t="s">
        <v>14</v>
      </c>
      <c r="C171" s="1753" t="s">
        <v>2771</v>
      </c>
      <c r="D171" s="1753" t="s">
        <v>2772</v>
      </c>
      <c r="E171" s="1753" t="s">
        <v>2773</v>
      </c>
      <c r="F171" s="1753" t="s">
        <v>2268</v>
      </c>
      <c r="G171" s="1753" t="s">
        <v>17</v>
      </c>
      <c r="H171" s="1753" t="s">
        <v>17</v>
      </c>
      <c r="I171" s="1753" t="s">
        <v>2774</v>
      </c>
      <c r="J171" t="s">
        <v>17</v>
      </c>
      <c r="K171" t="s">
        <v>871</v>
      </c>
      <c r="L171" t="s">
        <v>2207</v>
      </c>
      <c r="M171" t="s">
        <v>2208</v>
      </c>
      <c r="N171" t="s">
        <v>392</v>
      </c>
    </row>
    <row r="172" spans="1:14" ht="11.25" customHeight="1">
      <c r="A172" s="1753" t="s">
        <v>2199</v>
      </c>
      <c r="B172" s="1753" t="s">
        <v>14</v>
      </c>
      <c r="C172" s="1753" t="s">
        <v>2771</v>
      </c>
      <c r="D172" s="1753" t="s">
        <v>2772</v>
      </c>
      <c r="E172" s="1753" t="s">
        <v>2773</v>
      </c>
      <c r="F172" s="1753" t="s">
        <v>2268</v>
      </c>
      <c r="G172" s="1753" t="s">
        <v>17</v>
      </c>
      <c r="H172" s="1753" t="s">
        <v>17</v>
      </c>
      <c r="I172" s="1753" t="s">
        <v>2775</v>
      </c>
      <c r="J172" t="s">
        <v>17</v>
      </c>
      <c r="K172" t="s">
        <v>871</v>
      </c>
      <c r="L172" t="s">
        <v>2207</v>
      </c>
      <c r="M172" t="s">
        <v>2208</v>
      </c>
      <c r="N172" t="s">
        <v>392</v>
      </c>
    </row>
    <row r="173" spans="1:14" ht="11.25" customHeight="1">
      <c r="A173" s="1753" t="s">
        <v>2199</v>
      </c>
      <c r="B173" s="1753" t="s">
        <v>14</v>
      </c>
      <c r="C173" s="1753" t="s">
        <v>2771</v>
      </c>
      <c r="D173" s="1753" t="s">
        <v>2772</v>
      </c>
      <c r="E173" s="1753" t="s">
        <v>2773</v>
      </c>
      <c r="F173" s="1753" t="s">
        <v>2268</v>
      </c>
      <c r="G173" s="1753" t="s">
        <v>17</v>
      </c>
      <c r="H173" s="1753" t="s">
        <v>17</v>
      </c>
      <c r="I173" s="1753" t="s">
        <v>2776</v>
      </c>
      <c r="J173" t="s">
        <v>17</v>
      </c>
      <c r="K173" t="s">
        <v>871</v>
      </c>
      <c r="L173" t="s">
        <v>2207</v>
      </c>
      <c r="M173" t="s">
        <v>2208</v>
      </c>
      <c r="N173" t="s">
        <v>392</v>
      </c>
    </row>
    <row r="174" spans="1:14" ht="11.25" customHeight="1">
      <c r="A174" s="1753" t="s">
        <v>2199</v>
      </c>
      <c r="B174" s="1753" t="s">
        <v>14</v>
      </c>
      <c r="C174" s="1753" t="s">
        <v>2777</v>
      </c>
      <c r="D174" s="1753" t="s">
        <v>2778</v>
      </c>
      <c r="E174" s="1753" t="s">
        <v>2779</v>
      </c>
      <c r="F174" s="1753" t="s">
        <v>2780</v>
      </c>
      <c r="G174" s="1753" t="s">
        <v>17</v>
      </c>
      <c r="H174" s="1753" t="s">
        <v>17</v>
      </c>
      <c r="I174" s="1753" t="s">
        <v>2239</v>
      </c>
      <c r="J174" t="s">
        <v>17</v>
      </c>
      <c r="K174" t="s">
        <v>871</v>
      </c>
      <c r="L174" t="s">
        <v>2207</v>
      </c>
      <c r="M174" t="s">
        <v>2208</v>
      </c>
      <c r="N174" t="s">
        <v>392</v>
      </c>
    </row>
    <row r="175" spans="1:14" ht="11.25" customHeight="1">
      <c r="A175" s="1753" t="s">
        <v>2199</v>
      </c>
      <c r="B175" s="1753" t="s">
        <v>14</v>
      </c>
      <c r="C175" s="1753" t="s">
        <v>2781</v>
      </c>
      <c r="D175" s="1753" t="s">
        <v>2782</v>
      </c>
      <c r="E175" s="1753" t="s">
        <v>2783</v>
      </c>
      <c r="F175" s="1753" t="s">
        <v>2213</v>
      </c>
      <c r="G175" s="1753" t="s">
        <v>17</v>
      </c>
      <c r="H175" s="1753" t="s">
        <v>17</v>
      </c>
      <c r="I175" s="1753" t="s">
        <v>2784</v>
      </c>
      <c r="J175" t="s">
        <v>17</v>
      </c>
      <c r="K175" t="s">
        <v>931</v>
      </c>
      <c r="L175" t="s">
        <v>2228</v>
      </c>
      <c r="M175" t="s">
        <v>2229</v>
      </c>
      <c r="N175" t="s">
        <v>392</v>
      </c>
    </row>
    <row r="176" spans="1:14" ht="11.25" customHeight="1">
      <c r="A176" s="1753" t="s">
        <v>2199</v>
      </c>
      <c r="B176" s="1753" t="s">
        <v>14</v>
      </c>
      <c r="C176" s="1753" t="s">
        <v>2785</v>
      </c>
      <c r="D176" s="1753" t="s">
        <v>2786</v>
      </c>
      <c r="E176" s="1753" t="s">
        <v>2787</v>
      </c>
      <c r="F176" s="1753" t="s">
        <v>2245</v>
      </c>
      <c r="G176" s="1753" t="s">
        <v>17</v>
      </c>
      <c r="H176" s="1753" t="s">
        <v>17</v>
      </c>
      <c r="I176" s="1753" t="s">
        <v>2246</v>
      </c>
      <c r="J176" t="s">
        <v>17</v>
      </c>
      <c r="K176" t="s">
        <v>2487</v>
      </c>
      <c r="L176" t="s">
        <v>803</v>
      </c>
      <c r="M176" t="s">
        <v>2488</v>
      </c>
      <c r="N176" t="s">
        <v>392</v>
      </c>
    </row>
    <row r="177" spans="1:14" ht="11.25" customHeight="1">
      <c r="A177" s="1753" t="s">
        <v>2199</v>
      </c>
      <c r="B177" s="1753" t="s">
        <v>14</v>
      </c>
      <c r="C177" s="1753" t="s">
        <v>2785</v>
      </c>
      <c r="D177" s="1753" t="s">
        <v>2786</v>
      </c>
      <c r="E177" s="1753" t="s">
        <v>2787</v>
      </c>
      <c r="F177" s="1753" t="s">
        <v>2245</v>
      </c>
      <c r="G177" s="1753" t="s">
        <v>17</v>
      </c>
      <c r="H177" s="1753" t="s">
        <v>17</v>
      </c>
      <c r="I177" s="1753" t="s">
        <v>2246</v>
      </c>
      <c r="J177" t="s">
        <v>17</v>
      </c>
      <c r="K177" t="s">
        <v>775</v>
      </c>
      <c r="L177" t="s">
        <v>2231</v>
      </c>
      <c r="M177" t="s">
        <v>2232</v>
      </c>
      <c r="N177" t="s">
        <v>392</v>
      </c>
    </row>
    <row r="178" spans="1:14" ht="11.25" customHeight="1">
      <c r="A178" s="1753" t="s">
        <v>2199</v>
      </c>
      <c r="B178" s="1753" t="s">
        <v>14</v>
      </c>
      <c r="C178" s="1753" t="s">
        <v>2788</v>
      </c>
      <c r="D178" s="1753" t="s">
        <v>2789</v>
      </c>
      <c r="E178" s="1753" t="s">
        <v>2790</v>
      </c>
      <c r="F178" s="1753" t="s">
        <v>2203</v>
      </c>
      <c r="G178" s="1753" t="s">
        <v>17</v>
      </c>
      <c r="H178" s="1753" t="s">
        <v>17</v>
      </c>
      <c r="I178" s="1753" t="s">
        <v>2214</v>
      </c>
      <c r="J178" t="s">
        <v>17</v>
      </c>
      <c r="K178" t="s">
        <v>871</v>
      </c>
      <c r="L178" t="s">
        <v>2207</v>
      </c>
      <c r="M178" t="s">
        <v>2208</v>
      </c>
      <c r="N178" t="s">
        <v>392</v>
      </c>
    </row>
    <row r="179" spans="1:14" ht="11.25" customHeight="1">
      <c r="A179" s="1753" t="s">
        <v>2199</v>
      </c>
      <c r="B179" s="1753" t="s">
        <v>14</v>
      </c>
      <c r="C179" s="1753" t="s">
        <v>2791</v>
      </c>
      <c r="D179" s="1753" t="s">
        <v>2792</v>
      </c>
      <c r="E179" s="1753" t="s">
        <v>2793</v>
      </c>
      <c r="F179" s="1753" t="s">
        <v>2474</v>
      </c>
      <c r="G179" s="1753" t="s">
        <v>17</v>
      </c>
      <c r="H179" s="1753" t="s">
        <v>17</v>
      </c>
      <c r="I179" s="1753" t="s">
        <v>2794</v>
      </c>
      <c r="J179" t="s">
        <v>17</v>
      </c>
      <c r="K179" t="s">
        <v>931</v>
      </c>
      <c r="L179" t="s">
        <v>2228</v>
      </c>
      <c r="M179" t="s">
        <v>2229</v>
      </c>
      <c r="N179" t="s">
        <v>392</v>
      </c>
    </row>
    <row r="180" spans="1:14" ht="11.25" customHeight="1">
      <c r="A180" s="1753" t="s">
        <v>2199</v>
      </c>
      <c r="B180" s="1753" t="s">
        <v>14</v>
      </c>
      <c r="C180" s="1753" t="s">
        <v>2795</v>
      </c>
      <c r="D180" s="1753" t="s">
        <v>2796</v>
      </c>
      <c r="E180" s="1753" t="s">
        <v>2797</v>
      </c>
      <c r="F180" s="1753" t="s">
        <v>2798</v>
      </c>
      <c r="G180" s="1753" t="s">
        <v>17</v>
      </c>
      <c r="H180" s="1753" t="s">
        <v>17</v>
      </c>
      <c r="I180" s="1753" t="s">
        <v>2469</v>
      </c>
      <c r="J180" t="s">
        <v>17</v>
      </c>
      <c r="K180" t="s">
        <v>871</v>
      </c>
      <c r="L180" t="s">
        <v>2207</v>
      </c>
      <c r="M180" t="s">
        <v>2208</v>
      </c>
      <c r="N180" t="s">
        <v>392</v>
      </c>
    </row>
    <row r="181" spans="1:14" ht="11.25" customHeight="1">
      <c r="A181" s="1753" t="s">
        <v>2199</v>
      </c>
      <c r="B181" s="1753" t="s">
        <v>14</v>
      </c>
      <c r="C181" s="1753" t="s">
        <v>2799</v>
      </c>
      <c r="D181" s="1753" t="s">
        <v>2800</v>
      </c>
      <c r="E181" s="1753" t="s">
        <v>2801</v>
      </c>
      <c r="F181" s="1753" t="s">
        <v>2388</v>
      </c>
      <c r="G181" s="1753" t="s">
        <v>17</v>
      </c>
      <c r="H181" s="1753" t="s">
        <v>17</v>
      </c>
      <c r="I181" s="1753" t="s">
        <v>2802</v>
      </c>
      <c r="J181" t="s">
        <v>17</v>
      </c>
      <c r="K181" t="s">
        <v>871</v>
      </c>
      <c r="L181" t="s">
        <v>2207</v>
      </c>
      <c r="M181" t="s">
        <v>2208</v>
      </c>
      <c r="N181" t="s">
        <v>392</v>
      </c>
    </row>
    <row r="182" spans="1:14" ht="11.25" customHeight="1">
      <c r="A182" s="1753" t="s">
        <v>2199</v>
      </c>
      <c r="B182" s="1753" t="s">
        <v>14</v>
      </c>
      <c r="C182" s="1753" t="s">
        <v>2803</v>
      </c>
      <c r="D182" s="1753" t="s">
        <v>2804</v>
      </c>
      <c r="E182" s="1753" t="s">
        <v>2805</v>
      </c>
      <c r="F182" s="1753" t="s">
        <v>2264</v>
      </c>
      <c r="G182" s="1753" t="s">
        <v>17</v>
      </c>
      <c r="H182" s="1753" t="s">
        <v>17</v>
      </c>
      <c r="I182" s="1753" t="s">
        <v>2806</v>
      </c>
      <c r="J182" t="s">
        <v>17</v>
      </c>
      <c r="K182" t="s">
        <v>871</v>
      </c>
      <c r="L182" t="s">
        <v>2207</v>
      </c>
      <c r="M182" t="s">
        <v>2208</v>
      </c>
      <c r="N182" t="s">
        <v>392</v>
      </c>
    </row>
    <row r="183" spans="1:14" ht="11.25" customHeight="1">
      <c r="A183" s="1753" t="s">
        <v>2199</v>
      </c>
      <c r="B183" s="1753" t="s">
        <v>14</v>
      </c>
      <c r="C183" s="1753" t="s">
        <v>2807</v>
      </c>
      <c r="D183" s="1753" t="s">
        <v>2808</v>
      </c>
      <c r="E183" s="1753" t="s">
        <v>2809</v>
      </c>
      <c r="F183" s="1753" t="s">
        <v>2203</v>
      </c>
      <c r="G183" s="1753" t="s">
        <v>17</v>
      </c>
      <c r="H183" s="1753" t="s">
        <v>17</v>
      </c>
      <c r="I183" s="1753" t="s">
        <v>2246</v>
      </c>
      <c r="J183" t="s">
        <v>17</v>
      </c>
      <c r="K183" t="s">
        <v>871</v>
      </c>
      <c r="L183" t="s">
        <v>2207</v>
      </c>
      <c r="M183" t="s">
        <v>2208</v>
      </c>
      <c r="N183" t="s">
        <v>392</v>
      </c>
    </row>
    <row r="184" spans="1:14" ht="11.25" customHeight="1">
      <c r="A184" s="1753" t="s">
        <v>2199</v>
      </c>
      <c r="B184" s="1753" t="s">
        <v>14</v>
      </c>
      <c r="C184" s="1753" t="s">
        <v>2807</v>
      </c>
      <c r="D184" s="1753" t="s">
        <v>2808</v>
      </c>
      <c r="E184" s="1753" t="s">
        <v>2809</v>
      </c>
      <c r="F184" s="1753" t="s">
        <v>2203</v>
      </c>
      <c r="G184" s="1753" t="s">
        <v>17</v>
      </c>
      <c r="H184" s="1753" t="s">
        <v>17</v>
      </c>
      <c r="I184" s="1753" t="s">
        <v>2810</v>
      </c>
      <c r="J184" t="s">
        <v>17</v>
      </c>
      <c r="K184" t="s">
        <v>871</v>
      </c>
      <c r="L184" t="s">
        <v>2207</v>
      </c>
      <c r="M184" t="s">
        <v>2208</v>
      </c>
      <c r="N184" t="s">
        <v>392</v>
      </c>
    </row>
    <row r="185" spans="1:14" ht="11.25" customHeight="1">
      <c r="A185" s="1753" t="s">
        <v>2199</v>
      </c>
      <c r="B185" s="1753" t="s">
        <v>14</v>
      </c>
      <c r="C185" s="1753" t="s">
        <v>2811</v>
      </c>
      <c r="D185" s="1753" t="s">
        <v>2812</v>
      </c>
      <c r="E185" s="1753" t="s">
        <v>2813</v>
      </c>
      <c r="F185" s="1753" t="s">
        <v>2259</v>
      </c>
      <c r="G185" s="1753" t="s">
        <v>17</v>
      </c>
      <c r="H185" s="1753" t="s">
        <v>17</v>
      </c>
      <c r="I185" s="1753" t="s">
        <v>2814</v>
      </c>
      <c r="J185" t="s">
        <v>17</v>
      </c>
      <c r="K185" t="s">
        <v>915</v>
      </c>
      <c r="L185" t="s">
        <v>2240</v>
      </c>
      <c r="M185" t="s">
        <v>2241</v>
      </c>
      <c r="N185" t="s">
        <v>392</v>
      </c>
    </row>
    <row r="186" spans="1:14" ht="11.25" customHeight="1">
      <c r="A186" s="1753" t="s">
        <v>2199</v>
      </c>
      <c r="B186" s="1753" t="s">
        <v>14</v>
      </c>
      <c r="C186" s="1753" t="s">
        <v>2815</v>
      </c>
      <c r="D186" s="1753" t="s">
        <v>2816</v>
      </c>
      <c r="E186" s="1753" t="s">
        <v>2817</v>
      </c>
      <c r="F186" s="1753" t="s">
        <v>2273</v>
      </c>
      <c r="G186" s="1753" t="s">
        <v>17</v>
      </c>
      <c r="H186" s="1753" t="s">
        <v>17</v>
      </c>
      <c r="I186" s="1753" t="s">
        <v>2818</v>
      </c>
      <c r="J186" t="s">
        <v>17</v>
      </c>
      <c r="K186" t="s">
        <v>915</v>
      </c>
      <c r="L186" t="s">
        <v>2240</v>
      </c>
      <c r="M186" t="s">
        <v>2241</v>
      </c>
      <c r="N186" t="s">
        <v>392</v>
      </c>
    </row>
    <row r="187" spans="1:14" ht="11.25" customHeight="1">
      <c r="A187" s="1753" t="s">
        <v>2199</v>
      </c>
      <c r="B187" s="1753" t="s">
        <v>14</v>
      </c>
      <c r="C187" s="1753" t="s">
        <v>2819</v>
      </c>
      <c r="D187" s="1753" t="s">
        <v>2820</v>
      </c>
      <c r="E187" s="1753" t="s">
        <v>2821</v>
      </c>
      <c r="F187" s="1753" t="s">
        <v>2380</v>
      </c>
      <c r="G187" s="1753" t="s">
        <v>17</v>
      </c>
      <c r="H187" s="1753" t="s">
        <v>17</v>
      </c>
      <c r="I187" s="1753" t="s">
        <v>2822</v>
      </c>
      <c r="J187" t="s">
        <v>17</v>
      </c>
      <c r="K187" t="s">
        <v>871</v>
      </c>
      <c r="L187" t="s">
        <v>2207</v>
      </c>
      <c r="M187" t="s">
        <v>2208</v>
      </c>
      <c r="N187" t="s">
        <v>392</v>
      </c>
    </row>
    <row r="188" spans="1:14" ht="11.25" customHeight="1">
      <c r="A188" s="1753" t="s">
        <v>2199</v>
      </c>
      <c r="B188" s="1753" t="s">
        <v>14</v>
      </c>
      <c r="C188" s="1753" t="s">
        <v>2823</v>
      </c>
      <c r="D188" s="1753" t="s">
        <v>2824</v>
      </c>
      <c r="E188" s="1753" t="s">
        <v>2825</v>
      </c>
      <c r="F188" s="1753" t="s">
        <v>2474</v>
      </c>
      <c r="G188" s="1753" t="s">
        <v>2826</v>
      </c>
      <c r="H188" s="1753" t="s">
        <v>17</v>
      </c>
      <c r="I188" s="1753" t="s">
        <v>2827</v>
      </c>
      <c r="J188" t="s">
        <v>17</v>
      </c>
      <c r="K188" t="s">
        <v>871</v>
      </c>
      <c r="L188" t="s">
        <v>2207</v>
      </c>
      <c r="M188" t="s">
        <v>2208</v>
      </c>
      <c r="N188" t="s">
        <v>392</v>
      </c>
    </row>
    <row r="189" spans="1:14" ht="11.25" customHeight="1">
      <c r="A189" s="1753" t="s">
        <v>2199</v>
      </c>
      <c r="B189" s="1753" t="s">
        <v>14</v>
      </c>
      <c r="C189" s="1753" t="s">
        <v>2828</v>
      </c>
      <c r="D189" s="1753" t="s">
        <v>2829</v>
      </c>
      <c r="E189" s="1753" t="s">
        <v>2830</v>
      </c>
      <c r="F189" s="1753" t="s">
        <v>2268</v>
      </c>
      <c r="G189" s="1753" t="s">
        <v>2831</v>
      </c>
      <c r="H189" s="1753" t="s">
        <v>17</v>
      </c>
      <c r="I189" s="1753" t="s">
        <v>2326</v>
      </c>
      <c r="J189" t="s">
        <v>17</v>
      </c>
      <c r="K189" t="s">
        <v>839</v>
      </c>
      <c r="L189" t="s">
        <v>2352</v>
      </c>
      <c r="M189" t="s">
        <v>2353</v>
      </c>
      <c r="N189" t="s">
        <v>392</v>
      </c>
    </row>
    <row r="190" spans="1:14" ht="11.25" customHeight="1">
      <c r="A190" s="1753" t="s">
        <v>2199</v>
      </c>
      <c r="B190" s="1753" t="s">
        <v>14</v>
      </c>
      <c r="C190" s="1753" t="s">
        <v>2832</v>
      </c>
      <c r="D190" s="1753" t="s">
        <v>2833</v>
      </c>
      <c r="E190" s="1753" t="s">
        <v>2834</v>
      </c>
      <c r="F190" s="1753" t="s">
        <v>2732</v>
      </c>
      <c r="G190" s="1753" t="s">
        <v>17</v>
      </c>
      <c r="H190" s="1753" t="s">
        <v>17</v>
      </c>
      <c r="I190" s="1753" t="s">
        <v>2330</v>
      </c>
      <c r="J190" t="s">
        <v>17</v>
      </c>
      <c r="K190" t="s">
        <v>871</v>
      </c>
      <c r="L190" t="s">
        <v>2207</v>
      </c>
      <c r="M190" t="s">
        <v>2208</v>
      </c>
      <c r="N190" t="s">
        <v>392</v>
      </c>
    </row>
    <row r="191" spans="1:14" ht="11.25" customHeight="1">
      <c r="A191" s="1753" t="s">
        <v>2199</v>
      </c>
      <c r="B191" s="1753" t="s">
        <v>14</v>
      </c>
      <c r="C191" s="1753" t="s">
        <v>2835</v>
      </c>
      <c r="D191" s="1753" t="s">
        <v>2836</v>
      </c>
      <c r="E191" s="1753" t="s">
        <v>2837</v>
      </c>
      <c r="F191" s="1753" t="s">
        <v>2314</v>
      </c>
      <c r="G191" s="1753" t="s">
        <v>17</v>
      </c>
      <c r="H191" s="1753" t="s">
        <v>17</v>
      </c>
      <c r="I191" s="1753" t="s">
        <v>2838</v>
      </c>
      <c r="J191" t="s">
        <v>17</v>
      </c>
      <c r="K191" t="s">
        <v>931</v>
      </c>
      <c r="L191" t="s">
        <v>2228</v>
      </c>
      <c r="M191" t="s">
        <v>2229</v>
      </c>
      <c r="N191" t="s">
        <v>392</v>
      </c>
    </row>
    <row r="192" spans="1:14" ht="11.25" customHeight="1">
      <c r="A192" s="1753" t="s">
        <v>2199</v>
      </c>
      <c r="B192" s="1753" t="s">
        <v>14</v>
      </c>
      <c r="C192" s="1753" t="s">
        <v>2839</v>
      </c>
      <c r="D192" s="1753" t="s">
        <v>2840</v>
      </c>
      <c r="E192" s="1753" t="s">
        <v>2841</v>
      </c>
      <c r="F192" s="1753" t="s">
        <v>2314</v>
      </c>
      <c r="G192" s="1753" t="s">
        <v>17</v>
      </c>
      <c r="H192" s="1753" t="s">
        <v>17</v>
      </c>
      <c r="I192" s="1753" t="s">
        <v>2214</v>
      </c>
      <c r="J192" t="s">
        <v>17</v>
      </c>
      <c r="K192" t="s">
        <v>871</v>
      </c>
      <c r="L192" t="s">
        <v>2207</v>
      </c>
      <c r="M192" t="s">
        <v>2208</v>
      </c>
      <c r="N192" t="s">
        <v>392</v>
      </c>
    </row>
    <row r="193" spans="1:14" ht="11.25" customHeight="1">
      <c r="A193" s="1753" t="s">
        <v>2199</v>
      </c>
      <c r="B193" s="1753" t="s">
        <v>14</v>
      </c>
      <c r="C193" s="1753" t="s">
        <v>2842</v>
      </c>
      <c r="D193" s="1753" t="s">
        <v>2843</v>
      </c>
      <c r="E193" s="1753" t="s">
        <v>2844</v>
      </c>
      <c r="F193" s="1753" t="s">
        <v>2314</v>
      </c>
      <c r="G193" s="1753" t="s">
        <v>2845</v>
      </c>
      <c r="H193" s="1753" t="s">
        <v>17</v>
      </c>
      <c r="I193" s="1753" t="s">
        <v>2325</v>
      </c>
      <c r="J193" t="s">
        <v>17</v>
      </c>
      <c r="K193" t="s">
        <v>871</v>
      </c>
      <c r="L193" t="s">
        <v>2207</v>
      </c>
      <c r="M193" t="s">
        <v>2208</v>
      </c>
      <c r="N193" t="s">
        <v>392</v>
      </c>
    </row>
    <row r="194" spans="1:14" ht="11.25" customHeight="1">
      <c r="A194" s="1753" t="s">
        <v>2199</v>
      </c>
      <c r="B194" s="1753" t="s">
        <v>14</v>
      </c>
      <c r="C194" s="1753" t="s">
        <v>2842</v>
      </c>
      <c r="D194" s="1753" t="s">
        <v>2843</v>
      </c>
      <c r="E194" s="1753" t="s">
        <v>2844</v>
      </c>
      <c r="F194" s="1753" t="s">
        <v>2314</v>
      </c>
      <c r="G194" s="1753" t="s">
        <v>2845</v>
      </c>
      <c r="H194" s="1753" t="s">
        <v>17</v>
      </c>
      <c r="I194" s="1753" t="s">
        <v>2325</v>
      </c>
      <c r="J194" t="s">
        <v>17</v>
      </c>
      <c r="K194" t="s">
        <v>2249</v>
      </c>
      <c r="L194" t="s">
        <v>2250</v>
      </c>
      <c r="M194" t="s">
        <v>2251</v>
      </c>
      <c r="N194" t="s">
        <v>392</v>
      </c>
    </row>
    <row r="195" spans="1:14" ht="11.25" customHeight="1">
      <c r="A195" s="1753" t="s">
        <v>2199</v>
      </c>
      <c r="B195" s="1753" t="s">
        <v>14</v>
      </c>
      <c r="C195" s="1753" t="s">
        <v>2846</v>
      </c>
      <c r="D195" s="1753" t="s">
        <v>2847</v>
      </c>
      <c r="E195" s="1753" t="s">
        <v>2848</v>
      </c>
      <c r="F195" s="1753" t="s">
        <v>50</v>
      </c>
      <c r="G195" s="1753" t="s">
        <v>17</v>
      </c>
      <c r="H195" s="1753" t="s">
        <v>17</v>
      </c>
      <c r="I195" s="1753" t="s">
        <v>2849</v>
      </c>
      <c r="J195" t="s">
        <v>17</v>
      </c>
      <c r="K195" t="s">
        <v>803</v>
      </c>
      <c r="L195" t="s">
        <v>803</v>
      </c>
      <c r="M195" t="s">
        <v>2470</v>
      </c>
      <c r="N195" t="s">
        <v>392</v>
      </c>
    </row>
    <row r="196" spans="1:14" ht="11.25" customHeight="1">
      <c r="A196" s="1753" t="s">
        <v>2199</v>
      </c>
      <c r="B196" s="1753" t="s">
        <v>14</v>
      </c>
      <c r="C196" s="1753" t="s">
        <v>2846</v>
      </c>
      <c r="D196" s="1753" t="s">
        <v>2847</v>
      </c>
      <c r="E196" s="1753" t="s">
        <v>2848</v>
      </c>
      <c r="F196" s="1753" t="s">
        <v>50</v>
      </c>
      <c r="G196" s="1753" t="s">
        <v>17</v>
      </c>
      <c r="H196" s="1753" t="s">
        <v>17</v>
      </c>
      <c r="I196" s="1753" t="s">
        <v>2850</v>
      </c>
      <c r="J196" t="s">
        <v>17</v>
      </c>
      <c r="K196" t="s">
        <v>915</v>
      </c>
      <c r="L196" t="s">
        <v>2240</v>
      </c>
      <c r="M196" t="s">
        <v>2241</v>
      </c>
      <c r="N196" t="s">
        <v>392</v>
      </c>
    </row>
    <row r="197" spans="1:14" ht="11.25" customHeight="1">
      <c r="A197" s="1753" t="s">
        <v>2199</v>
      </c>
      <c r="B197" s="1753" t="s">
        <v>14</v>
      </c>
      <c r="C197" s="1753" t="s">
        <v>2851</v>
      </c>
      <c r="D197" s="1753" t="s">
        <v>2852</v>
      </c>
      <c r="E197" s="1753" t="s">
        <v>2853</v>
      </c>
      <c r="F197" s="1753" t="s">
        <v>2639</v>
      </c>
      <c r="G197" s="1753" t="s">
        <v>17</v>
      </c>
      <c r="H197" s="1753" t="s">
        <v>17</v>
      </c>
      <c r="I197" s="1753" t="s">
        <v>2330</v>
      </c>
      <c r="J197" t="s">
        <v>17</v>
      </c>
      <c r="K197" t="s">
        <v>871</v>
      </c>
      <c r="L197" t="s">
        <v>2207</v>
      </c>
      <c r="M197" t="s">
        <v>2208</v>
      </c>
      <c r="N197" t="s">
        <v>392</v>
      </c>
    </row>
    <row r="198" spans="1:14" ht="11.25" customHeight="1">
      <c r="A198" s="1753" t="s">
        <v>2199</v>
      </c>
      <c r="B198" s="1753" t="s">
        <v>14</v>
      </c>
      <c r="C198" s="1753" t="s">
        <v>2854</v>
      </c>
      <c r="D198" s="1753" t="s">
        <v>2855</v>
      </c>
      <c r="E198" s="1753" t="s">
        <v>2856</v>
      </c>
      <c r="F198" s="1753" t="s">
        <v>2432</v>
      </c>
      <c r="G198" s="1753" t="s">
        <v>17</v>
      </c>
      <c r="H198" s="1753" t="s">
        <v>17</v>
      </c>
      <c r="I198" s="1753" t="s">
        <v>2661</v>
      </c>
      <c r="J198" t="s">
        <v>17</v>
      </c>
      <c r="K198" t="s">
        <v>871</v>
      </c>
      <c r="L198" t="s">
        <v>2207</v>
      </c>
      <c r="M198" t="s">
        <v>2208</v>
      </c>
      <c r="N198" t="s">
        <v>392</v>
      </c>
    </row>
    <row r="199" spans="1:14" ht="11.25" customHeight="1">
      <c r="A199" s="1753" t="s">
        <v>2199</v>
      </c>
      <c r="B199" s="1753" t="s">
        <v>14</v>
      </c>
      <c r="C199" s="1753" t="s">
        <v>2857</v>
      </c>
      <c r="D199" s="1753" t="s">
        <v>2858</v>
      </c>
      <c r="E199" s="1753" t="s">
        <v>2859</v>
      </c>
      <c r="F199" s="1753" t="s">
        <v>2860</v>
      </c>
      <c r="G199" s="1753" t="s">
        <v>17</v>
      </c>
      <c r="H199" s="1753" t="s">
        <v>17</v>
      </c>
      <c r="I199" s="1753" t="s">
        <v>2330</v>
      </c>
      <c r="J199" t="s">
        <v>17</v>
      </c>
      <c r="K199" t="s">
        <v>871</v>
      </c>
      <c r="L199" t="s">
        <v>2207</v>
      </c>
      <c r="M199" t="s">
        <v>2208</v>
      </c>
      <c r="N199" t="s">
        <v>392</v>
      </c>
    </row>
    <row r="200" spans="1:14" ht="11.25" customHeight="1">
      <c r="A200" s="1753" t="s">
        <v>2199</v>
      </c>
      <c r="B200" s="1753" t="s">
        <v>14</v>
      </c>
      <c r="C200" s="1753" t="s">
        <v>2861</v>
      </c>
      <c r="D200" s="1753" t="s">
        <v>2862</v>
      </c>
      <c r="E200" s="1753" t="s">
        <v>2863</v>
      </c>
      <c r="F200" s="1753" t="s">
        <v>2474</v>
      </c>
      <c r="G200" s="1753" t="s">
        <v>2864</v>
      </c>
      <c r="H200" s="1753" t="s">
        <v>17</v>
      </c>
      <c r="I200" s="1753" t="s">
        <v>2297</v>
      </c>
      <c r="J200" t="s">
        <v>17</v>
      </c>
      <c r="K200" t="s">
        <v>871</v>
      </c>
      <c r="L200" t="s">
        <v>2207</v>
      </c>
      <c r="M200" t="s">
        <v>2208</v>
      </c>
      <c r="N200" t="s">
        <v>392</v>
      </c>
    </row>
    <row r="201" spans="1:14" ht="11.25" customHeight="1">
      <c r="A201" s="1753" t="s">
        <v>2199</v>
      </c>
      <c r="B201" s="1753" t="s">
        <v>14</v>
      </c>
      <c r="C201" s="1753" t="s">
        <v>2865</v>
      </c>
      <c r="D201" s="1753" t="s">
        <v>2866</v>
      </c>
      <c r="E201" s="1753" t="s">
        <v>2867</v>
      </c>
      <c r="F201" s="1753" t="s">
        <v>2314</v>
      </c>
      <c r="G201" s="1753" t="s">
        <v>2868</v>
      </c>
      <c r="H201" s="1753" t="s">
        <v>17</v>
      </c>
      <c r="I201" s="1753" t="s">
        <v>2868</v>
      </c>
      <c r="J201" t="s">
        <v>17</v>
      </c>
      <c r="K201" t="s">
        <v>871</v>
      </c>
      <c r="L201" t="s">
        <v>2207</v>
      </c>
      <c r="M201" t="s">
        <v>2208</v>
      </c>
      <c r="N201" t="s">
        <v>392</v>
      </c>
    </row>
    <row r="202" spans="1:14" ht="11.25" customHeight="1">
      <c r="A202" s="1753" t="s">
        <v>2199</v>
      </c>
      <c r="B202" s="1753" t="s">
        <v>14</v>
      </c>
      <c r="C202" s="1753" t="s">
        <v>2869</v>
      </c>
      <c r="D202" s="1753" t="s">
        <v>2870</v>
      </c>
      <c r="E202" s="1753" t="s">
        <v>2871</v>
      </c>
      <c r="F202" s="1753" t="s">
        <v>2474</v>
      </c>
      <c r="G202" s="1753" t="s">
        <v>2872</v>
      </c>
      <c r="H202" s="1753" t="s">
        <v>17</v>
      </c>
      <c r="I202" s="1753" t="s">
        <v>2563</v>
      </c>
      <c r="J202" t="s">
        <v>17</v>
      </c>
      <c r="K202" t="s">
        <v>871</v>
      </c>
      <c r="L202" t="s">
        <v>2207</v>
      </c>
      <c r="M202" t="s">
        <v>2208</v>
      </c>
      <c r="N202" t="s">
        <v>392</v>
      </c>
    </row>
    <row r="203" spans="1:14" ht="11.25" customHeight="1">
      <c r="A203" s="1753" t="s">
        <v>2199</v>
      </c>
      <c r="B203" s="1753" t="s">
        <v>14</v>
      </c>
      <c r="C203" s="1753" t="s">
        <v>2873</v>
      </c>
      <c r="D203" s="1753" t="s">
        <v>2874</v>
      </c>
      <c r="E203" s="1753" t="s">
        <v>2875</v>
      </c>
      <c r="F203" s="1753" t="s">
        <v>2306</v>
      </c>
      <c r="G203" s="1753" t="s">
        <v>2876</v>
      </c>
      <c r="H203" s="1753" t="s">
        <v>17</v>
      </c>
      <c r="I203" s="1753" t="s">
        <v>2877</v>
      </c>
      <c r="J203" t="s">
        <v>17</v>
      </c>
      <c r="K203" t="s">
        <v>871</v>
      </c>
      <c r="L203" t="s">
        <v>2207</v>
      </c>
      <c r="M203" t="s">
        <v>2208</v>
      </c>
      <c r="N203" t="s">
        <v>392</v>
      </c>
    </row>
    <row r="204" spans="1:14" ht="11.25" customHeight="1">
      <c r="A204" s="1753" t="s">
        <v>2199</v>
      </c>
      <c r="B204" s="1753" t="s">
        <v>14</v>
      </c>
      <c r="C204" s="1753" t="s">
        <v>2878</v>
      </c>
      <c r="D204" s="1753" t="s">
        <v>2879</v>
      </c>
      <c r="E204" s="1753" t="s">
        <v>2880</v>
      </c>
      <c r="F204" s="1753" t="s">
        <v>2203</v>
      </c>
      <c r="G204" s="1753" t="s">
        <v>17</v>
      </c>
      <c r="H204" s="1753" t="s">
        <v>17</v>
      </c>
      <c r="I204" s="1753" t="s">
        <v>2444</v>
      </c>
      <c r="J204" t="s">
        <v>17</v>
      </c>
      <c r="K204" t="s">
        <v>871</v>
      </c>
      <c r="L204" t="s">
        <v>2207</v>
      </c>
      <c r="M204" t="s">
        <v>2208</v>
      </c>
      <c r="N204" t="s">
        <v>392</v>
      </c>
    </row>
    <row r="205" spans="1:14" ht="11.25" customHeight="1">
      <c r="A205" s="1753" t="s">
        <v>2199</v>
      </c>
      <c r="B205" s="1753" t="s">
        <v>14</v>
      </c>
      <c r="C205" s="1753" t="s">
        <v>2878</v>
      </c>
      <c r="D205" s="1753" t="s">
        <v>2879</v>
      </c>
      <c r="E205" s="1753" t="s">
        <v>2880</v>
      </c>
      <c r="F205" s="1753" t="s">
        <v>2203</v>
      </c>
      <c r="G205" s="1753" t="s">
        <v>17</v>
      </c>
      <c r="H205" s="1753" t="s">
        <v>17</v>
      </c>
      <c r="I205" s="1753" t="s">
        <v>2330</v>
      </c>
      <c r="J205" t="s">
        <v>17</v>
      </c>
      <c r="K205" t="s">
        <v>871</v>
      </c>
      <c r="L205" t="s">
        <v>2207</v>
      </c>
      <c r="M205" t="s">
        <v>2208</v>
      </c>
      <c r="N205" t="s">
        <v>392</v>
      </c>
    </row>
    <row r="206" spans="1:14" ht="11.25" customHeight="1">
      <c r="A206" s="1753" t="s">
        <v>2199</v>
      </c>
      <c r="B206" s="1753" t="s">
        <v>14</v>
      </c>
      <c r="C206" s="1753" t="s">
        <v>2881</v>
      </c>
      <c r="D206" s="1753" t="s">
        <v>2882</v>
      </c>
      <c r="E206" s="1753" t="s">
        <v>2883</v>
      </c>
      <c r="F206" s="1753" t="s">
        <v>2203</v>
      </c>
      <c r="G206" s="1753" t="s">
        <v>17</v>
      </c>
      <c r="H206" s="1753" t="s">
        <v>17</v>
      </c>
      <c r="I206" s="1753" t="s">
        <v>2884</v>
      </c>
      <c r="J206" t="s">
        <v>17</v>
      </c>
      <c r="K206" t="s">
        <v>871</v>
      </c>
      <c r="L206" t="s">
        <v>2207</v>
      </c>
      <c r="M206" t="s">
        <v>2208</v>
      </c>
      <c r="N206" t="s">
        <v>392</v>
      </c>
    </row>
    <row r="207" spans="1:14" ht="11.25" customHeight="1">
      <c r="A207" s="1753" t="s">
        <v>2199</v>
      </c>
      <c r="B207" s="1753" t="s">
        <v>14</v>
      </c>
      <c r="C207" s="1753" t="s">
        <v>2885</v>
      </c>
      <c r="D207" s="1753" t="s">
        <v>2886</v>
      </c>
      <c r="E207" s="1753" t="s">
        <v>2887</v>
      </c>
      <c r="F207" s="1753" t="s">
        <v>2213</v>
      </c>
      <c r="G207" s="1753" t="s">
        <v>2888</v>
      </c>
      <c r="H207" s="1753" t="s">
        <v>17</v>
      </c>
      <c r="I207" s="1753" t="s">
        <v>2469</v>
      </c>
      <c r="J207" t="s">
        <v>17</v>
      </c>
      <c r="K207" t="s">
        <v>871</v>
      </c>
      <c r="L207" t="s">
        <v>2207</v>
      </c>
      <c r="M207" t="s">
        <v>2208</v>
      </c>
      <c r="N207" t="s">
        <v>392</v>
      </c>
    </row>
    <row r="208" spans="1:14" ht="11.25" customHeight="1">
      <c r="A208" s="1753" t="s">
        <v>2199</v>
      </c>
      <c r="B208" s="1753" t="s">
        <v>14</v>
      </c>
      <c r="C208" s="1753" t="s">
        <v>2889</v>
      </c>
      <c r="D208" s="1753" t="s">
        <v>2890</v>
      </c>
      <c r="E208" s="1753" t="s">
        <v>2891</v>
      </c>
      <c r="F208" s="1753" t="s">
        <v>2424</v>
      </c>
      <c r="G208" s="1753" t="s">
        <v>17</v>
      </c>
      <c r="H208" s="1753" t="s">
        <v>17</v>
      </c>
      <c r="I208" s="1753" t="s">
        <v>2330</v>
      </c>
      <c r="J208" t="s">
        <v>17</v>
      </c>
      <c r="K208" t="s">
        <v>871</v>
      </c>
      <c r="L208" t="s">
        <v>2207</v>
      </c>
      <c r="M208" t="s">
        <v>2208</v>
      </c>
      <c r="N208" t="s">
        <v>392</v>
      </c>
    </row>
    <row r="209" spans="1:14" ht="11.25" customHeight="1">
      <c r="A209" s="1753" t="s">
        <v>2199</v>
      </c>
      <c r="B209" s="1753" t="s">
        <v>14</v>
      </c>
      <c r="C209" s="1753" t="s">
        <v>2892</v>
      </c>
      <c r="D209" s="1753" t="s">
        <v>2893</v>
      </c>
      <c r="E209" s="1753" t="s">
        <v>2894</v>
      </c>
      <c r="F209" s="1753" t="s">
        <v>2301</v>
      </c>
      <c r="G209" s="1753" t="s">
        <v>17</v>
      </c>
      <c r="H209" s="1753" t="s">
        <v>17</v>
      </c>
      <c r="I209" s="1753" t="s">
        <v>2661</v>
      </c>
      <c r="J209" t="s">
        <v>17</v>
      </c>
      <c r="K209" t="s">
        <v>871</v>
      </c>
      <c r="L209" t="s">
        <v>2207</v>
      </c>
      <c r="M209" t="s">
        <v>2208</v>
      </c>
      <c r="N209" t="s">
        <v>392</v>
      </c>
    </row>
    <row r="210" spans="1:14" ht="11.25" customHeight="1">
      <c r="A210" s="1753" t="s">
        <v>2199</v>
      </c>
      <c r="B210" s="1753" t="s">
        <v>14</v>
      </c>
      <c r="C210" s="1753" t="s">
        <v>2895</v>
      </c>
      <c r="D210" s="1753" t="s">
        <v>2896</v>
      </c>
      <c r="E210" s="1753" t="s">
        <v>2897</v>
      </c>
      <c r="F210" s="1753" t="s">
        <v>2203</v>
      </c>
      <c r="G210" s="1753" t="s">
        <v>17</v>
      </c>
      <c r="H210" s="1753" t="s">
        <v>17</v>
      </c>
      <c r="I210" s="1753" t="s">
        <v>2214</v>
      </c>
      <c r="J210" t="s">
        <v>17</v>
      </c>
      <c r="K210" t="s">
        <v>871</v>
      </c>
      <c r="L210" t="s">
        <v>2207</v>
      </c>
      <c r="M210" t="s">
        <v>2208</v>
      </c>
      <c r="N210" t="s">
        <v>392</v>
      </c>
    </row>
    <row r="211" spans="1:14" ht="11.25" customHeight="1">
      <c r="A211" s="1753" t="s">
        <v>2199</v>
      </c>
      <c r="B211" s="1753" t="s">
        <v>14</v>
      </c>
      <c r="C211" s="1753" t="s">
        <v>2898</v>
      </c>
      <c r="D211" s="1753" t="s">
        <v>2899</v>
      </c>
      <c r="E211" s="1753" t="s">
        <v>2900</v>
      </c>
      <c r="F211" s="1753" t="s">
        <v>2223</v>
      </c>
      <c r="G211" s="1753" t="s">
        <v>17</v>
      </c>
      <c r="H211" s="1753" t="s">
        <v>17</v>
      </c>
      <c r="I211" s="1753" t="s">
        <v>2901</v>
      </c>
      <c r="J211" t="s">
        <v>2206</v>
      </c>
      <c r="K211" t="s">
        <v>871</v>
      </c>
      <c r="L211" t="s">
        <v>2207</v>
      </c>
      <c r="M211" t="s">
        <v>2208</v>
      </c>
      <c r="N211" t="s">
        <v>392</v>
      </c>
    </row>
    <row r="212" spans="1:14" ht="11.25" customHeight="1">
      <c r="A212" s="1753" t="s">
        <v>2199</v>
      </c>
      <c r="B212" s="1753" t="s">
        <v>14</v>
      </c>
      <c r="C212" s="1753" t="s">
        <v>2898</v>
      </c>
      <c r="D212" s="1753" t="s">
        <v>2899</v>
      </c>
      <c r="E212" s="1753" t="s">
        <v>2900</v>
      </c>
      <c r="F212" s="1753" t="s">
        <v>2223</v>
      </c>
      <c r="G212" s="1753" t="s">
        <v>17</v>
      </c>
      <c r="H212" s="1753" t="s">
        <v>17</v>
      </c>
      <c r="I212" s="1753" t="s">
        <v>2209</v>
      </c>
      <c r="J212" t="s">
        <v>17</v>
      </c>
      <c r="K212" t="s">
        <v>871</v>
      </c>
      <c r="L212" t="s">
        <v>2207</v>
      </c>
      <c r="M212" t="s">
        <v>2208</v>
      </c>
      <c r="N212" t="s">
        <v>392</v>
      </c>
    </row>
    <row r="213" spans="1:14" ht="11.25" customHeight="1">
      <c r="A213" s="1753" t="s">
        <v>2199</v>
      </c>
      <c r="B213" s="1753" t="s">
        <v>14</v>
      </c>
      <c r="C213" s="1753" t="s">
        <v>2902</v>
      </c>
      <c r="D213" s="1753" t="s">
        <v>2903</v>
      </c>
      <c r="E213" s="1753" t="s">
        <v>2904</v>
      </c>
      <c r="F213" s="1753" t="s">
        <v>2273</v>
      </c>
      <c r="G213" s="1753" t="s">
        <v>17</v>
      </c>
      <c r="H213" s="1753" t="s">
        <v>17</v>
      </c>
      <c r="I213" s="1753" t="s">
        <v>2905</v>
      </c>
      <c r="J213" t="s">
        <v>17</v>
      </c>
      <c r="K213" t="s">
        <v>931</v>
      </c>
      <c r="L213" t="s">
        <v>2228</v>
      </c>
      <c r="M213" t="s">
        <v>2229</v>
      </c>
      <c r="N213" t="s">
        <v>392</v>
      </c>
    </row>
    <row r="214" spans="1:14" ht="11.25" customHeight="1">
      <c r="A214" s="1753" t="s">
        <v>2199</v>
      </c>
      <c r="B214" s="1753" t="s">
        <v>14</v>
      </c>
      <c r="C214" s="1753" t="s">
        <v>2906</v>
      </c>
      <c r="D214" s="1753" t="s">
        <v>2907</v>
      </c>
      <c r="E214" s="1753" t="s">
        <v>2908</v>
      </c>
      <c r="F214" s="1753" t="s">
        <v>2245</v>
      </c>
      <c r="G214" s="1753" t="s">
        <v>17</v>
      </c>
      <c r="H214" s="1753" t="s">
        <v>17</v>
      </c>
      <c r="I214" s="1753" t="s">
        <v>2246</v>
      </c>
      <c r="J214" t="s">
        <v>17</v>
      </c>
      <c r="K214" t="s">
        <v>871</v>
      </c>
      <c r="L214" t="s">
        <v>2207</v>
      </c>
      <c r="M214" t="s">
        <v>2208</v>
      </c>
      <c r="N214" t="s">
        <v>392</v>
      </c>
    </row>
    <row r="215" spans="1:14" ht="11.25" customHeight="1">
      <c r="A215" s="1753" t="s">
        <v>2199</v>
      </c>
      <c r="B215" s="1753" t="s">
        <v>14</v>
      </c>
      <c r="C215" s="1753" t="s">
        <v>2909</v>
      </c>
      <c r="D215" s="1753" t="s">
        <v>2910</v>
      </c>
      <c r="E215" s="1753" t="s">
        <v>2911</v>
      </c>
      <c r="F215" s="1753" t="s">
        <v>2314</v>
      </c>
      <c r="G215" s="1753" t="s">
        <v>17</v>
      </c>
      <c r="H215" s="1753" t="s">
        <v>17</v>
      </c>
      <c r="I215" s="1753" t="s">
        <v>2326</v>
      </c>
      <c r="J215" t="s">
        <v>17</v>
      </c>
      <c r="K215" t="s">
        <v>871</v>
      </c>
      <c r="L215" t="s">
        <v>2207</v>
      </c>
      <c r="M215" t="s">
        <v>2208</v>
      </c>
      <c r="N215" t="s">
        <v>392</v>
      </c>
    </row>
    <row r="216" spans="1:14" ht="11.25" customHeight="1">
      <c r="A216" s="1753" t="s">
        <v>2199</v>
      </c>
      <c r="B216" s="1753" t="s">
        <v>14</v>
      </c>
      <c r="C216" s="1753" t="s">
        <v>2909</v>
      </c>
      <c r="D216" s="1753" t="s">
        <v>2910</v>
      </c>
      <c r="E216" s="1753" t="s">
        <v>2911</v>
      </c>
      <c r="F216" s="1753" t="s">
        <v>2314</v>
      </c>
      <c r="G216" s="1753" t="s">
        <v>17</v>
      </c>
      <c r="H216" s="1753" t="s">
        <v>17</v>
      </c>
      <c r="I216" s="1753" t="s">
        <v>2246</v>
      </c>
      <c r="J216" t="s">
        <v>17</v>
      </c>
      <c r="K216" t="s">
        <v>871</v>
      </c>
      <c r="L216" t="s">
        <v>2207</v>
      </c>
      <c r="M216" t="s">
        <v>2208</v>
      </c>
      <c r="N216" t="s">
        <v>392</v>
      </c>
    </row>
    <row r="217" spans="1:14" ht="11.25" customHeight="1">
      <c r="A217" s="1753" t="s">
        <v>2199</v>
      </c>
      <c r="B217" s="1753" t="s">
        <v>14</v>
      </c>
      <c r="C217" s="1753" t="s">
        <v>2912</v>
      </c>
      <c r="D217" s="1753" t="s">
        <v>2913</v>
      </c>
      <c r="E217" s="1753" t="s">
        <v>2914</v>
      </c>
      <c r="F217" s="1753" t="s">
        <v>2499</v>
      </c>
      <c r="G217" s="1753" t="s">
        <v>17</v>
      </c>
      <c r="H217" s="1753" t="s">
        <v>17</v>
      </c>
      <c r="I217" s="1753" t="s">
        <v>2330</v>
      </c>
      <c r="J217" t="s">
        <v>17</v>
      </c>
      <c r="K217" t="s">
        <v>871</v>
      </c>
      <c r="L217" t="s">
        <v>2207</v>
      </c>
      <c r="M217" t="s">
        <v>2208</v>
      </c>
      <c r="N217" t="s">
        <v>392</v>
      </c>
    </row>
    <row r="218" spans="1:14" ht="11.25" customHeight="1">
      <c r="A218" s="1753" t="s">
        <v>2199</v>
      </c>
      <c r="B218" s="1753" t="s">
        <v>14</v>
      </c>
      <c r="C218" s="1753" t="s">
        <v>2915</v>
      </c>
      <c r="D218" s="1753" t="s">
        <v>2916</v>
      </c>
      <c r="E218" s="1753" t="s">
        <v>2917</v>
      </c>
      <c r="F218" s="1753" t="s">
        <v>2301</v>
      </c>
      <c r="G218" s="1753" t="s">
        <v>17</v>
      </c>
      <c r="H218" s="1753" t="s">
        <v>17</v>
      </c>
      <c r="I218" s="1753" t="s">
        <v>2918</v>
      </c>
      <c r="J218" t="s">
        <v>17</v>
      </c>
      <c r="K218" t="s">
        <v>871</v>
      </c>
      <c r="L218" t="s">
        <v>2207</v>
      </c>
      <c r="M218" t="s">
        <v>2208</v>
      </c>
      <c r="N218" t="s">
        <v>392</v>
      </c>
    </row>
    <row r="219" spans="1:14" ht="11.25" customHeight="1">
      <c r="A219" s="1753" t="s">
        <v>2199</v>
      </c>
      <c r="B219" s="1753" t="s">
        <v>14</v>
      </c>
      <c r="C219" s="1753" t="s">
        <v>2919</v>
      </c>
      <c r="D219" s="1753" t="s">
        <v>2920</v>
      </c>
      <c r="E219" s="1753" t="s">
        <v>2921</v>
      </c>
      <c r="F219" s="1753" t="s">
        <v>2922</v>
      </c>
      <c r="G219" s="1753" t="s">
        <v>17</v>
      </c>
      <c r="H219" s="1753" t="s">
        <v>17</v>
      </c>
      <c r="I219" s="1753" t="s">
        <v>2330</v>
      </c>
      <c r="J219" t="s">
        <v>17</v>
      </c>
      <c r="K219" t="s">
        <v>871</v>
      </c>
      <c r="L219" t="s">
        <v>2207</v>
      </c>
      <c r="M219" t="s">
        <v>2208</v>
      </c>
      <c r="N219" t="s">
        <v>392</v>
      </c>
    </row>
    <row r="220" spans="1:14" ht="11.25" customHeight="1">
      <c r="A220" s="1753" t="s">
        <v>2199</v>
      </c>
      <c r="B220" s="1753" t="s">
        <v>14</v>
      </c>
      <c r="C220" s="1753" t="s">
        <v>2923</v>
      </c>
      <c r="D220" s="1753" t="s">
        <v>2924</v>
      </c>
      <c r="E220" s="1753" t="s">
        <v>2925</v>
      </c>
      <c r="F220" s="1753" t="s">
        <v>2926</v>
      </c>
      <c r="G220" s="1753" t="s">
        <v>17</v>
      </c>
      <c r="H220" s="1753" t="s">
        <v>17</v>
      </c>
      <c r="I220" s="1753" t="s">
        <v>2927</v>
      </c>
      <c r="J220" t="s">
        <v>17</v>
      </c>
      <c r="K220" t="s">
        <v>871</v>
      </c>
      <c r="L220" t="s">
        <v>2207</v>
      </c>
      <c r="M220" t="s">
        <v>2208</v>
      </c>
      <c r="N220" t="s">
        <v>392</v>
      </c>
    </row>
    <row r="221" spans="1:14" ht="11.25" customHeight="1">
      <c r="A221" s="1753" t="s">
        <v>2199</v>
      </c>
      <c r="B221" s="1753" t="s">
        <v>14</v>
      </c>
      <c r="C221" s="1753" t="s">
        <v>2928</v>
      </c>
      <c r="D221" s="1753" t="s">
        <v>2929</v>
      </c>
      <c r="E221" s="1753" t="s">
        <v>2930</v>
      </c>
      <c r="F221" s="1753" t="s">
        <v>2213</v>
      </c>
      <c r="G221" s="1753" t="s">
        <v>17</v>
      </c>
      <c r="H221" s="1753" t="s">
        <v>17</v>
      </c>
      <c r="I221" s="1753" t="s">
        <v>2931</v>
      </c>
      <c r="J221" t="s">
        <v>17</v>
      </c>
      <c r="K221" t="s">
        <v>871</v>
      </c>
      <c r="L221" t="s">
        <v>2207</v>
      </c>
      <c r="M221" t="s">
        <v>2208</v>
      </c>
      <c r="N221" t="s">
        <v>392</v>
      </c>
    </row>
    <row r="222" spans="1:14" ht="11.25" customHeight="1">
      <c r="A222" s="1753" t="s">
        <v>2199</v>
      </c>
      <c r="B222" s="1753" t="s">
        <v>14</v>
      </c>
      <c r="C222" s="1753" t="s">
        <v>2932</v>
      </c>
      <c r="D222" s="1753" t="s">
        <v>2933</v>
      </c>
      <c r="E222" s="1753" t="s">
        <v>2934</v>
      </c>
      <c r="F222" s="1753" t="s">
        <v>2589</v>
      </c>
      <c r="G222" s="1753" t="s">
        <v>17</v>
      </c>
      <c r="H222" s="1753" t="s">
        <v>17</v>
      </c>
      <c r="I222" s="1753" t="s">
        <v>2246</v>
      </c>
      <c r="J222" t="s">
        <v>17</v>
      </c>
      <c r="K222" t="s">
        <v>871</v>
      </c>
      <c r="L222" t="s">
        <v>2207</v>
      </c>
      <c r="M222" t="s">
        <v>2208</v>
      </c>
      <c r="N222" t="s">
        <v>392</v>
      </c>
    </row>
    <row r="223" spans="1:14" ht="11.25" customHeight="1">
      <c r="A223" s="1753" t="s">
        <v>2199</v>
      </c>
      <c r="B223" s="1753" t="s">
        <v>14</v>
      </c>
      <c r="C223" s="1753" t="s">
        <v>2935</v>
      </c>
      <c r="D223" s="1753" t="s">
        <v>2936</v>
      </c>
      <c r="E223" s="1753" t="s">
        <v>2937</v>
      </c>
      <c r="F223" s="1753" t="s">
        <v>2938</v>
      </c>
      <c r="G223" s="1753" t="s">
        <v>17</v>
      </c>
      <c r="H223" s="1753" t="s">
        <v>17</v>
      </c>
      <c r="I223" s="1753" t="s">
        <v>2939</v>
      </c>
      <c r="J223" t="s">
        <v>17</v>
      </c>
      <c r="K223" t="s">
        <v>915</v>
      </c>
      <c r="L223" t="s">
        <v>2240</v>
      </c>
      <c r="M223" t="s">
        <v>2241</v>
      </c>
      <c r="N223" t="s">
        <v>392</v>
      </c>
    </row>
    <row r="224" spans="1:14" ht="11.25" customHeight="1">
      <c r="A224" s="1753" t="s">
        <v>2199</v>
      </c>
      <c r="B224" s="1753" t="s">
        <v>14</v>
      </c>
      <c r="C224" s="1753" t="s">
        <v>2940</v>
      </c>
      <c r="D224" s="1753" t="s">
        <v>2941</v>
      </c>
      <c r="E224" s="1753" t="s">
        <v>2942</v>
      </c>
      <c r="F224" s="1753" t="s">
        <v>2203</v>
      </c>
      <c r="G224" s="1753" t="s">
        <v>2943</v>
      </c>
      <c r="H224" s="1753" t="s">
        <v>17</v>
      </c>
      <c r="I224" s="1753" t="s">
        <v>2469</v>
      </c>
      <c r="J224" t="s">
        <v>17</v>
      </c>
      <c r="K224" t="s">
        <v>915</v>
      </c>
      <c r="L224" t="s">
        <v>2240</v>
      </c>
      <c r="M224" t="s">
        <v>2241</v>
      </c>
      <c r="N224" t="s">
        <v>392</v>
      </c>
    </row>
    <row r="225" spans="1:14" ht="11.25" customHeight="1">
      <c r="A225" s="1753" t="s">
        <v>2199</v>
      </c>
      <c r="B225" s="1753" t="s">
        <v>14</v>
      </c>
      <c r="C225" s="1753" t="s">
        <v>2944</v>
      </c>
      <c r="D225" s="1753" t="s">
        <v>2945</v>
      </c>
      <c r="E225" s="1753" t="s">
        <v>2946</v>
      </c>
      <c r="F225" s="1753" t="s">
        <v>2432</v>
      </c>
      <c r="G225" s="1753" t="s">
        <v>17</v>
      </c>
      <c r="H225" s="1753" t="s">
        <v>17</v>
      </c>
      <c r="I225" s="1753" t="s">
        <v>2239</v>
      </c>
      <c r="J225" t="s">
        <v>17</v>
      </c>
      <c r="K225" t="s">
        <v>871</v>
      </c>
      <c r="L225" t="s">
        <v>2207</v>
      </c>
      <c r="M225" t="s">
        <v>2208</v>
      </c>
      <c r="N225" t="s">
        <v>392</v>
      </c>
    </row>
    <row r="226" spans="1:14" ht="11.25" customHeight="1">
      <c r="A226" s="1753" t="s">
        <v>2199</v>
      </c>
      <c r="B226" s="1753" t="s">
        <v>14</v>
      </c>
      <c r="C226" s="1753" t="s">
        <v>2947</v>
      </c>
      <c r="D226" s="1753" t="s">
        <v>2948</v>
      </c>
      <c r="E226" s="1753" t="s">
        <v>2949</v>
      </c>
      <c r="F226" s="1753" t="s">
        <v>2950</v>
      </c>
      <c r="G226" s="1753" t="s">
        <v>17</v>
      </c>
      <c r="H226" s="1753" t="s">
        <v>17</v>
      </c>
      <c r="I226" s="1753" t="s">
        <v>2326</v>
      </c>
      <c r="J226" t="s">
        <v>17</v>
      </c>
      <c r="K226" t="s">
        <v>871</v>
      </c>
      <c r="L226" t="s">
        <v>2207</v>
      </c>
      <c r="M226" t="s">
        <v>2208</v>
      </c>
      <c r="N226" t="s">
        <v>392</v>
      </c>
    </row>
    <row r="227" spans="1:14" ht="11.25" customHeight="1">
      <c r="A227" s="1753" t="s">
        <v>2199</v>
      </c>
      <c r="B227" s="1753" t="s">
        <v>14</v>
      </c>
      <c r="C227" s="1753" t="s">
        <v>2951</v>
      </c>
      <c r="D227" s="1753" t="s">
        <v>2952</v>
      </c>
      <c r="E227" s="1753" t="s">
        <v>2953</v>
      </c>
      <c r="F227" s="1753" t="s">
        <v>2203</v>
      </c>
      <c r="G227" s="1753" t="s">
        <v>17</v>
      </c>
      <c r="H227" s="1753" t="s">
        <v>17</v>
      </c>
      <c r="I227" s="1753" t="s">
        <v>2954</v>
      </c>
      <c r="J227" t="s">
        <v>17</v>
      </c>
      <c r="K227" t="s">
        <v>871</v>
      </c>
      <c r="L227" t="s">
        <v>2207</v>
      </c>
      <c r="M227" t="s">
        <v>2208</v>
      </c>
      <c r="N227" t="s">
        <v>392</v>
      </c>
    </row>
    <row r="228" spans="1:14" ht="11.25" customHeight="1">
      <c r="A228" s="1753" t="s">
        <v>2199</v>
      </c>
      <c r="B228" s="1753" t="s">
        <v>14</v>
      </c>
      <c r="C228" s="1753" t="s">
        <v>2955</v>
      </c>
      <c r="D228" s="1753" t="s">
        <v>2956</v>
      </c>
      <c r="E228" s="1753" t="s">
        <v>2957</v>
      </c>
      <c r="F228" s="1753" t="s">
        <v>2958</v>
      </c>
      <c r="G228" s="1753" t="s">
        <v>2959</v>
      </c>
      <c r="H228" s="1753" t="s">
        <v>17</v>
      </c>
      <c r="I228" s="1753" t="s">
        <v>2510</v>
      </c>
      <c r="J228" t="s">
        <v>17</v>
      </c>
      <c r="K228" t="s">
        <v>871</v>
      </c>
      <c r="L228" t="s">
        <v>2207</v>
      </c>
      <c r="M228" t="s">
        <v>2208</v>
      </c>
      <c r="N228" t="s">
        <v>392</v>
      </c>
    </row>
    <row r="229" spans="1:14" ht="11.25" customHeight="1">
      <c r="A229" s="1753" t="s">
        <v>2199</v>
      </c>
      <c r="B229" s="1753" t="s">
        <v>14</v>
      </c>
      <c r="C229" s="1753" t="s">
        <v>2960</v>
      </c>
      <c r="D229" s="1753" t="s">
        <v>2961</v>
      </c>
      <c r="E229" s="1753" t="s">
        <v>2962</v>
      </c>
      <c r="F229" s="1753" t="s">
        <v>2539</v>
      </c>
      <c r="G229" s="1753" t="s">
        <v>2963</v>
      </c>
      <c r="H229" s="1753" t="s">
        <v>17</v>
      </c>
      <c r="I229" s="1753" t="s">
        <v>2330</v>
      </c>
      <c r="J229" t="s">
        <v>17</v>
      </c>
      <c r="K229" t="s">
        <v>871</v>
      </c>
      <c r="L229" t="s">
        <v>2207</v>
      </c>
      <c r="M229" t="s">
        <v>2208</v>
      </c>
      <c r="N229" t="s">
        <v>392</v>
      </c>
    </row>
    <row r="230" spans="1:14" ht="11.25" customHeight="1">
      <c r="A230" s="1753" t="s">
        <v>2199</v>
      </c>
      <c r="B230" s="1753" t="s">
        <v>14</v>
      </c>
      <c r="C230" s="1753" t="s">
        <v>2964</v>
      </c>
      <c r="D230" s="1753" t="s">
        <v>2965</v>
      </c>
      <c r="E230" s="1753" t="s">
        <v>2966</v>
      </c>
      <c r="F230" s="1753" t="s">
        <v>2203</v>
      </c>
      <c r="G230" s="1753" t="s">
        <v>17</v>
      </c>
      <c r="H230" s="1753" t="s">
        <v>17</v>
      </c>
      <c r="I230" s="1753" t="s">
        <v>2214</v>
      </c>
      <c r="J230" t="s">
        <v>17</v>
      </c>
      <c r="K230" t="s">
        <v>871</v>
      </c>
      <c r="L230" t="s">
        <v>2207</v>
      </c>
      <c r="M230" t="s">
        <v>2208</v>
      </c>
      <c r="N230" t="s">
        <v>392</v>
      </c>
    </row>
    <row r="231" spans="1:14" ht="11.25" customHeight="1">
      <c r="A231" s="1753" t="s">
        <v>2199</v>
      </c>
      <c r="B231" s="1753" t="s">
        <v>14</v>
      </c>
      <c r="C231" s="1753" t="s">
        <v>2967</v>
      </c>
      <c r="D231" s="1753" t="s">
        <v>2968</v>
      </c>
      <c r="E231" s="1753" t="s">
        <v>2969</v>
      </c>
      <c r="F231" s="1753" t="s">
        <v>2203</v>
      </c>
      <c r="G231" s="1753" t="s">
        <v>17</v>
      </c>
      <c r="H231" s="1753" t="s">
        <v>17</v>
      </c>
      <c r="I231" s="1753" t="s">
        <v>2214</v>
      </c>
      <c r="J231" t="s">
        <v>17</v>
      </c>
      <c r="K231" t="s">
        <v>871</v>
      </c>
      <c r="L231" t="s">
        <v>2207</v>
      </c>
      <c r="M231" t="s">
        <v>2208</v>
      </c>
      <c r="N231" t="s">
        <v>392</v>
      </c>
    </row>
    <row r="232" spans="1:14" ht="11.25" customHeight="1">
      <c r="A232" s="1753" t="s">
        <v>2199</v>
      </c>
      <c r="B232" s="1753" t="s">
        <v>14</v>
      </c>
      <c r="C232" s="1753" t="s">
        <v>2970</v>
      </c>
      <c r="D232" s="1753" t="s">
        <v>2971</v>
      </c>
      <c r="E232" s="1753" t="s">
        <v>2972</v>
      </c>
      <c r="F232" s="1753" t="s">
        <v>2424</v>
      </c>
      <c r="G232" s="1753" t="s">
        <v>17</v>
      </c>
      <c r="H232" s="1753" t="s">
        <v>17</v>
      </c>
      <c r="I232" s="1753" t="s">
        <v>2330</v>
      </c>
      <c r="J232" t="s">
        <v>17</v>
      </c>
      <c r="K232" t="s">
        <v>871</v>
      </c>
      <c r="L232" t="s">
        <v>2207</v>
      </c>
      <c r="M232" t="s">
        <v>2208</v>
      </c>
      <c r="N232" t="s">
        <v>392</v>
      </c>
    </row>
    <row r="233" spans="1:14" ht="11.25" customHeight="1">
      <c r="A233" s="1753" t="s">
        <v>2199</v>
      </c>
      <c r="B233" s="1753" t="s">
        <v>14</v>
      </c>
      <c r="C233" s="1753" t="s">
        <v>2973</v>
      </c>
      <c r="D233" s="1753" t="s">
        <v>2974</v>
      </c>
      <c r="E233" s="1753" t="s">
        <v>2975</v>
      </c>
      <c r="F233" s="1753" t="s">
        <v>2380</v>
      </c>
      <c r="G233" s="1753" t="s">
        <v>17</v>
      </c>
      <c r="H233" s="1753" t="s">
        <v>17</v>
      </c>
      <c r="I233" s="1753" t="s">
        <v>2976</v>
      </c>
      <c r="J233" t="s">
        <v>17</v>
      </c>
      <c r="K233" t="s">
        <v>871</v>
      </c>
      <c r="L233" t="s">
        <v>2207</v>
      </c>
      <c r="M233" t="s">
        <v>2208</v>
      </c>
      <c r="N233" t="s">
        <v>392</v>
      </c>
    </row>
    <row r="234" spans="1:14" ht="11.25" customHeight="1">
      <c r="A234" s="1753" t="s">
        <v>2199</v>
      </c>
      <c r="B234" s="1753" t="s">
        <v>14</v>
      </c>
      <c r="C234" s="1753" t="s">
        <v>2977</v>
      </c>
      <c r="D234" s="1753" t="s">
        <v>2978</v>
      </c>
      <c r="E234" s="1753" t="s">
        <v>2979</v>
      </c>
      <c r="F234" s="1753" t="s">
        <v>2314</v>
      </c>
      <c r="G234" s="1753" t="s">
        <v>17</v>
      </c>
      <c r="H234" s="1753" t="s">
        <v>17</v>
      </c>
      <c r="I234" s="1753" t="s">
        <v>2330</v>
      </c>
      <c r="J234" t="s">
        <v>17</v>
      </c>
      <c r="K234" t="s">
        <v>915</v>
      </c>
      <c r="L234" t="s">
        <v>2240</v>
      </c>
      <c r="M234" t="s">
        <v>2241</v>
      </c>
      <c r="N234" t="s">
        <v>392</v>
      </c>
    </row>
    <row r="235" spans="1:14" ht="11.25" customHeight="1">
      <c r="A235" s="1753" t="s">
        <v>2199</v>
      </c>
      <c r="B235" s="1753" t="s">
        <v>14</v>
      </c>
      <c r="C235" s="1753" t="s">
        <v>2980</v>
      </c>
      <c r="D235" s="1753" t="s">
        <v>2981</v>
      </c>
      <c r="E235" s="1753" t="s">
        <v>2982</v>
      </c>
      <c r="F235" s="1753" t="s">
        <v>2203</v>
      </c>
      <c r="G235" s="1753" t="s">
        <v>17</v>
      </c>
      <c r="H235" s="1753" t="s">
        <v>17</v>
      </c>
      <c r="I235" s="1753" t="s">
        <v>2983</v>
      </c>
      <c r="J235" t="s">
        <v>17</v>
      </c>
      <c r="K235" t="s">
        <v>915</v>
      </c>
      <c r="L235" t="s">
        <v>2240</v>
      </c>
      <c r="M235" t="s">
        <v>2241</v>
      </c>
      <c r="N235" t="s">
        <v>392</v>
      </c>
    </row>
    <row r="236" spans="1:14" ht="11.25" customHeight="1">
      <c r="A236" s="1753" t="s">
        <v>2199</v>
      </c>
      <c r="B236" s="1753" t="s">
        <v>14</v>
      </c>
      <c r="C236" s="1753" t="s">
        <v>2984</v>
      </c>
      <c r="D236" s="1753" t="s">
        <v>2985</v>
      </c>
      <c r="E236" s="1753" t="s">
        <v>2986</v>
      </c>
      <c r="F236" s="1753" t="s">
        <v>2259</v>
      </c>
      <c r="G236" s="1753" t="s">
        <v>17</v>
      </c>
      <c r="H236" s="1753" t="s">
        <v>17</v>
      </c>
      <c r="I236" s="1753" t="s">
        <v>2541</v>
      </c>
      <c r="J236" t="s">
        <v>17</v>
      </c>
      <c r="K236" t="s">
        <v>871</v>
      </c>
      <c r="L236" t="s">
        <v>2207</v>
      </c>
      <c r="M236" t="s">
        <v>2208</v>
      </c>
      <c r="N236" t="s">
        <v>392</v>
      </c>
    </row>
    <row r="237" spans="1:14" ht="11.25" customHeight="1">
      <c r="A237" s="1753" t="s">
        <v>2199</v>
      </c>
      <c r="B237" s="1753" t="s">
        <v>14</v>
      </c>
      <c r="C237" s="1753" t="s">
        <v>2987</v>
      </c>
      <c r="D237" s="1753" t="s">
        <v>2988</v>
      </c>
      <c r="E237" s="1753" t="s">
        <v>2989</v>
      </c>
      <c r="F237" s="1753" t="s">
        <v>2732</v>
      </c>
      <c r="G237" s="1753" t="s">
        <v>17</v>
      </c>
      <c r="H237" s="1753" t="s">
        <v>17</v>
      </c>
      <c r="I237" s="1753" t="s">
        <v>2330</v>
      </c>
      <c r="J237" t="s">
        <v>17</v>
      </c>
      <c r="K237" t="s">
        <v>871</v>
      </c>
      <c r="L237" t="s">
        <v>2207</v>
      </c>
      <c r="M237" t="s">
        <v>2208</v>
      </c>
      <c r="N237" t="s">
        <v>392</v>
      </c>
    </row>
    <row r="238" spans="1:14" ht="11.25" customHeight="1">
      <c r="A238" s="1753" t="s">
        <v>2199</v>
      </c>
      <c r="B238" s="1753" t="s">
        <v>14</v>
      </c>
      <c r="C238" s="1753" t="s">
        <v>2990</v>
      </c>
      <c r="D238" s="1753" t="s">
        <v>2991</v>
      </c>
      <c r="E238" s="1753" t="s">
        <v>2992</v>
      </c>
      <c r="F238" s="1753" t="s">
        <v>2474</v>
      </c>
      <c r="G238" s="1753" t="s">
        <v>17</v>
      </c>
      <c r="H238" s="1753" t="s">
        <v>17</v>
      </c>
      <c r="I238" s="1753" t="s">
        <v>2469</v>
      </c>
      <c r="J238" t="s">
        <v>17</v>
      </c>
      <c r="K238" t="s">
        <v>871</v>
      </c>
      <c r="L238" t="s">
        <v>2207</v>
      </c>
      <c r="M238" t="s">
        <v>2208</v>
      </c>
      <c r="N238" t="s">
        <v>392</v>
      </c>
    </row>
    <row r="239" spans="1:14" ht="11.25" customHeight="1">
      <c r="A239" s="1753" t="s">
        <v>2199</v>
      </c>
      <c r="B239" s="1753" t="s">
        <v>14</v>
      </c>
      <c r="C239" s="1753" t="s">
        <v>2993</v>
      </c>
      <c r="D239" s="1753" t="s">
        <v>2994</v>
      </c>
      <c r="E239" s="1753" t="s">
        <v>2995</v>
      </c>
      <c r="F239" s="1753" t="s">
        <v>2268</v>
      </c>
      <c r="G239" s="1753" t="s">
        <v>17</v>
      </c>
      <c r="H239" s="1753" t="s">
        <v>17</v>
      </c>
      <c r="I239" s="1753" t="s">
        <v>2996</v>
      </c>
      <c r="J239" t="s">
        <v>17</v>
      </c>
      <c r="K239" t="s">
        <v>871</v>
      </c>
      <c r="L239" t="s">
        <v>2207</v>
      </c>
      <c r="M239" t="s">
        <v>2208</v>
      </c>
      <c r="N239" t="s">
        <v>392</v>
      </c>
    </row>
    <row r="240" spans="1:14" ht="11.25" customHeight="1">
      <c r="A240" s="1753" t="s">
        <v>2199</v>
      </c>
      <c r="B240" s="1753" t="s">
        <v>14</v>
      </c>
      <c r="C240" s="1753" t="s">
        <v>2997</v>
      </c>
      <c r="D240" s="1753" t="s">
        <v>2998</v>
      </c>
      <c r="E240" s="1753" t="s">
        <v>2999</v>
      </c>
      <c r="F240" s="1753" t="s">
        <v>2922</v>
      </c>
      <c r="G240" s="1753" t="s">
        <v>17</v>
      </c>
      <c r="H240" s="1753" t="s">
        <v>17</v>
      </c>
      <c r="I240" s="1753" t="s">
        <v>2330</v>
      </c>
      <c r="J240" t="s">
        <v>17</v>
      </c>
      <c r="K240" t="s">
        <v>871</v>
      </c>
      <c r="L240" t="s">
        <v>2207</v>
      </c>
      <c r="M240" t="s">
        <v>2208</v>
      </c>
      <c r="N240" t="s">
        <v>392</v>
      </c>
    </row>
    <row r="241" spans="1:14" ht="11.25" customHeight="1">
      <c r="A241" s="1753" t="s">
        <v>2199</v>
      </c>
      <c r="B241" s="1753" t="s">
        <v>14</v>
      </c>
      <c r="C241" s="1753" t="s">
        <v>3000</v>
      </c>
      <c r="D241" s="1753" t="s">
        <v>3001</v>
      </c>
      <c r="E241" s="1753" t="s">
        <v>3002</v>
      </c>
      <c r="F241" s="1753" t="s">
        <v>2632</v>
      </c>
      <c r="G241" s="1753" t="s">
        <v>17</v>
      </c>
      <c r="H241" s="1753" t="s">
        <v>17</v>
      </c>
      <c r="I241" s="1753" t="s">
        <v>2330</v>
      </c>
      <c r="J241" t="s">
        <v>17</v>
      </c>
      <c r="K241" t="s">
        <v>871</v>
      </c>
      <c r="L241" t="s">
        <v>2207</v>
      </c>
      <c r="M241" t="s">
        <v>2208</v>
      </c>
      <c r="N241" t="s">
        <v>392</v>
      </c>
    </row>
    <row r="242" spans="1:14" ht="11.25" customHeight="1">
      <c r="A242" s="1753" t="s">
        <v>2199</v>
      </c>
      <c r="B242" s="1753" t="s">
        <v>14</v>
      </c>
      <c r="C242" s="1753" t="s">
        <v>3003</v>
      </c>
      <c r="D242" s="1753" t="s">
        <v>3004</v>
      </c>
      <c r="E242" s="1753" t="s">
        <v>3005</v>
      </c>
      <c r="F242" s="1753" t="s">
        <v>50</v>
      </c>
      <c r="G242" s="1753" t="s">
        <v>17</v>
      </c>
      <c r="H242" s="1753" t="s">
        <v>17</v>
      </c>
      <c r="I242" s="1753" t="s">
        <v>2337</v>
      </c>
      <c r="J242" t="s">
        <v>17</v>
      </c>
      <c r="K242" t="s">
        <v>803</v>
      </c>
      <c r="L242" t="s">
        <v>803</v>
      </c>
      <c r="M242" t="s">
        <v>2470</v>
      </c>
      <c r="N242" t="s">
        <v>392</v>
      </c>
    </row>
    <row r="243" spans="1:14" ht="11.25" customHeight="1">
      <c r="A243" s="1753" t="s">
        <v>2199</v>
      </c>
      <c r="B243" s="1753" t="s">
        <v>14</v>
      </c>
      <c r="C243" s="1753" t="s">
        <v>3006</v>
      </c>
      <c r="D243" s="1753" t="s">
        <v>3007</v>
      </c>
      <c r="E243" s="1753" t="s">
        <v>3008</v>
      </c>
      <c r="F243" s="1753" t="s">
        <v>2684</v>
      </c>
      <c r="G243" s="1753" t="s">
        <v>17</v>
      </c>
      <c r="H243" s="1753" t="s">
        <v>17</v>
      </c>
      <c r="I243" s="1753" t="s">
        <v>2330</v>
      </c>
      <c r="J243" t="s">
        <v>17</v>
      </c>
      <c r="K243" t="s">
        <v>871</v>
      </c>
      <c r="L243" t="s">
        <v>2207</v>
      </c>
      <c r="M243" t="s">
        <v>2208</v>
      </c>
      <c r="N243" t="s">
        <v>392</v>
      </c>
    </row>
    <row r="244" spans="1:14" ht="11.25" customHeight="1">
      <c r="A244" s="1753" t="s">
        <v>2199</v>
      </c>
      <c r="B244" s="1753" t="s">
        <v>14</v>
      </c>
      <c r="C244" s="1753" t="s">
        <v>3009</v>
      </c>
      <c r="D244" s="1753" t="s">
        <v>3010</v>
      </c>
      <c r="E244" s="1753" t="s">
        <v>3011</v>
      </c>
      <c r="F244" s="1753" t="s">
        <v>2732</v>
      </c>
      <c r="G244" s="1753" t="s">
        <v>17</v>
      </c>
      <c r="H244" s="1753" t="s">
        <v>17</v>
      </c>
      <c r="I244" s="1753" t="s">
        <v>2330</v>
      </c>
      <c r="J244" t="s">
        <v>17</v>
      </c>
      <c r="K244" t="s">
        <v>871</v>
      </c>
      <c r="L244" t="s">
        <v>2207</v>
      </c>
      <c r="M244" t="s">
        <v>2208</v>
      </c>
      <c r="N244" t="s">
        <v>392</v>
      </c>
    </row>
    <row r="245" spans="1:14" ht="11.25" customHeight="1">
      <c r="A245" s="1753" t="s">
        <v>2199</v>
      </c>
      <c r="B245" s="1753" t="s">
        <v>14</v>
      </c>
      <c r="C245" s="1753" t="s">
        <v>3012</v>
      </c>
      <c r="D245" s="1753" t="s">
        <v>3013</v>
      </c>
      <c r="E245" s="1753" t="s">
        <v>3014</v>
      </c>
      <c r="F245" s="1753" t="s">
        <v>3015</v>
      </c>
      <c r="G245" s="1753" t="s">
        <v>3016</v>
      </c>
      <c r="H245" s="1753" t="s">
        <v>17</v>
      </c>
      <c r="I245" s="1753" t="s">
        <v>2784</v>
      </c>
      <c r="J245" t="s">
        <v>17</v>
      </c>
      <c r="K245" t="s">
        <v>931</v>
      </c>
      <c r="L245" t="s">
        <v>2228</v>
      </c>
      <c r="M245" t="s">
        <v>2229</v>
      </c>
      <c r="N245" t="s">
        <v>392</v>
      </c>
    </row>
    <row r="246" spans="1:14" ht="11.25" customHeight="1">
      <c r="A246" s="1753" t="s">
        <v>2199</v>
      </c>
      <c r="B246" s="1753" t="s">
        <v>14</v>
      </c>
      <c r="C246" s="1753" t="s">
        <v>3017</v>
      </c>
      <c r="D246" s="1753" t="s">
        <v>3018</v>
      </c>
      <c r="E246" s="1753" t="s">
        <v>3019</v>
      </c>
      <c r="F246" s="1753" t="s">
        <v>2268</v>
      </c>
      <c r="G246" s="1753" t="s">
        <v>17</v>
      </c>
      <c r="H246" s="1753" t="s">
        <v>17</v>
      </c>
      <c r="I246" s="1753" t="s">
        <v>2326</v>
      </c>
      <c r="J246" t="s">
        <v>17</v>
      </c>
      <c r="K246" t="s">
        <v>915</v>
      </c>
      <c r="L246" t="s">
        <v>2240</v>
      </c>
      <c r="M246" t="s">
        <v>2241</v>
      </c>
      <c r="N246" t="s">
        <v>392</v>
      </c>
    </row>
    <row r="247" spans="1:14" ht="11.25" customHeight="1">
      <c r="A247" s="1753" t="s">
        <v>2199</v>
      </c>
      <c r="B247" s="1753" t="s">
        <v>14</v>
      </c>
      <c r="C247" s="1753" t="s">
        <v>3020</v>
      </c>
      <c r="D247" s="1753" t="s">
        <v>3021</v>
      </c>
      <c r="E247" s="1753" t="s">
        <v>3022</v>
      </c>
      <c r="F247" s="1753" t="s">
        <v>3023</v>
      </c>
      <c r="G247" s="1753" t="s">
        <v>17</v>
      </c>
      <c r="H247" s="1753" t="s">
        <v>17</v>
      </c>
      <c r="I247" s="1753" t="s">
        <v>2661</v>
      </c>
      <c r="J247" t="s">
        <v>17</v>
      </c>
      <c r="K247" t="s">
        <v>931</v>
      </c>
      <c r="L247" t="s">
        <v>2228</v>
      </c>
      <c r="M247" t="s">
        <v>2229</v>
      </c>
      <c r="N247" t="s">
        <v>392</v>
      </c>
    </row>
    <row r="248" spans="1:14" ht="11.25" customHeight="1">
      <c r="A248" s="1753" t="s">
        <v>2199</v>
      </c>
      <c r="B248" s="1753" t="s">
        <v>14</v>
      </c>
      <c r="C248" s="1753" t="s">
        <v>3020</v>
      </c>
      <c r="D248" s="1753" t="s">
        <v>3021</v>
      </c>
      <c r="E248" s="1753" t="s">
        <v>3022</v>
      </c>
      <c r="F248" s="1753" t="s">
        <v>3023</v>
      </c>
      <c r="G248" s="1753" t="s">
        <v>17</v>
      </c>
      <c r="H248" s="1753" t="s">
        <v>17</v>
      </c>
      <c r="I248" s="1753" t="s">
        <v>2330</v>
      </c>
      <c r="J248" t="s">
        <v>17</v>
      </c>
      <c r="K248" t="s">
        <v>931</v>
      </c>
      <c r="L248" t="s">
        <v>2228</v>
      </c>
      <c r="M248" t="s">
        <v>2229</v>
      </c>
      <c r="N248" t="s">
        <v>392</v>
      </c>
    </row>
    <row r="249" spans="1:14" ht="11.25" customHeight="1">
      <c r="A249" s="1753" t="s">
        <v>2199</v>
      </c>
      <c r="B249" s="1753" t="s">
        <v>14</v>
      </c>
      <c r="C249" s="1753" t="s">
        <v>3024</v>
      </c>
      <c r="D249" s="1753" t="s">
        <v>3025</v>
      </c>
      <c r="E249" s="1753" t="s">
        <v>3026</v>
      </c>
      <c r="F249" s="1753" t="s">
        <v>2245</v>
      </c>
      <c r="G249" s="1753" t="s">
        <v>17</v>
      </c>
      <c r="H249" s="1753" t="s">
        <v>17</v>
      </c>
      <c r="I249" s="1753" t="s">
        <v>2330</v>
      </c>
      <c r="J249" t="s">
        <v>17</v>
      </c>
      <c r="K249" t="s">
        <v>915</v>
      </c>
      <c r="L249" t="s">
        <v>2240</v>
      </c>
      <c r="M249" t="s">
        <v>2241</v>
      </c>
      <c r="N249" t="s">
        <v>392</v>
      </c>
    </row>
    <row r="250" spans="1:14" ht="11.25" customHeight="1">
      <c r="A250" s="1753" t="s">
        <v>2199</v>
      </c>
      <c r="B250" s="1753" t="s">
        <v>14</v>
      </c>
      <c r="C250" s="1753" t="s">
        <v>3027</v>
      </c>
      <c r="D250" s="1753" t="s">
        <v>3028</v>
      </c>
      <c r="E250" s="1753" t="s">
        <v>3029</v>
      </c>
      <c r="F250" s="1753" t="s">
        <v>2314</v>
      </c>
      <c r="G250" s="1753" t="s">
        <v>17</v>
      </c>
      <c r="H250" s="1753" t="s">
        <v>17</v>
      </c>
      <c r="I250" s="1753" t="s">
        <v>2469</v>
      </c>
      <c r="J250" t="s">
        <v>17</v>
      </c>
      <c r="K250" t="s">
        <v>871</v>
      </c>
      <c r="L250" t="s">
        <v>2207</v>
      </c>
      <c r="M250" t="s">
        <v>2208</v>
      </c>
      <c r="N250" t="s">
        <v>392</v>
      </c>
    </row>
    <row r="251" spans="1:14" ht="11.25" customHeight="1">
      <c r="A251" s="1753" t="s">
        <v>2199</v>
      </c>
      <c r="B251" s="1753" t="s">
        <v>14</v>
      </c>
      <c r="C251" s="1753" t="s">
        <v>3030</v>
      </c>
      <c r="D251" s="1753" t="s">
        <v>3031</v>
      </c>
      <c r="E251" s="1753" t="s">
        <v>3032</v>
      </c>
      <c r="F251" s="1753" t="s">
        <v>2255</v>
      </c>
      <c r="G251" s="1753" t="s">
        <v>17</v>
      </c>
      <c r="H251" s="1753" t="s">
        <v>17</v>
      </c>
      <c r="I251" s="1753" t="s">
        <v>2246</v>
      </c>
      <c r="J251" t="s">
        <v>17</v>
      </c>
      <c r="K251" t="s">
        <v>871</v>
      </c>
      <c r="L251" t="s">
        <v>2207</v>
      </c>
      <c r="M251" t="s">
        <v>2208</v>
      </c>
      <c r="N251" t="s">
        <v>392</v>
      </c>
    </row>
    <row r="252" spans="1:14" ht="11.25" customHeight="1">
      <c r="A252" s="1753" t="s">
        <v>2199</v>
      </c>
      <c r="B252" s="1753" t="s">
        <v>14</v>
      </c>
      <c r="C252" s="1753" t="s">
        <v>3033</v>
      </c>
      <c r="D252" s="1753" t="s">
        <v>3034</v>
      </c>
      <c r="E252" s="1753" t="s">
        <v>3035</v>
      </c>
      <c r="F252" s="1753" t="s">
        <v>2203</v>
      </c>
      <c r="G252" s="1753" t="s">
        <v>17</v>
      </c>
      <c r="H252" s="1753" t="s">
        <v>17</v>
      </c>
      <c r="I252" s="1753" t="s">
        <v>2214</v>
      </c>
      <c r="J252" t="s">
        <v>17</v>
      </c>
      <c r="K252" t="s">
        <v>871</v>
      </c>
      <c r="L252" t="s">
        <v>2207</v>
      </c>
      <c r="M252" t="s">
        <v>2208</v>
      </c>
      <c r="N252" t="s">
        <v>392</v>
      </c>
    </row>
    <row r="253" spans="1:14" ht="11.25" customHeight="1">
      <c r="A253" s="1753" t="s">
        <v>2199</v>
      </c>
      <c r="B253" s="1753" t="s">
        <v>14</v>
      </c>
      <c r="C253" s="1753" t="s">
        <v>3036</v>
      </c>
      <c r="D253" s="1753" t="s">
        <v>3037</v>
      </c>
      <c r="E253" s="1753" t="s">
        <v>3038</v>
      </c>
      <c r="F253" s="1753" t="s">
        <v>2203</v>
      </c>
      <c r="G253" s="1753" t="s">
        <v>17</v>
      </c>
      <c r="H253" s="1753" t="s">
        <v>17</v>
      </c>
      <c r="I253" s="1753" t="s">
        <v>2330</v>
      </c>
      <c r="J253" t="s">
        <v>17</v>
      </c>
      <c r="K253" t="s">
        <v>871</v>
      </c>
      <c r="L253" t="s">
        <v>2207</v>
      </c>
      <c r="M253" t="s">
        <v>2208</v>
      </c>
      <c r="N253" t="s">
        <v>392</v>
      </c>
    </row>
    <row r="254" spans="1:14" ht="11.25" customHeight="1">
      <c r="A254" s="1753" t="s">
        <v>2199</v>
      </c>
      <c r="B254" s="1753" t="s">
        <v>14</v>
      </c>
      <c r="C254" s="1753" t="s">
        <v>3039</v>
      </c>
      <c r="D254" s="1753" t="s">
        <v>3040</v>
      </c>
      <c r="E254" s="1753" t="s">
        <v>3041</v>
      </c>
      <c r="F254" s="1753" t="s">
        <v>2213</v>
      </c>
      <c r="G254" s="1753" t="s">
        <v>17</v>
      </c>
      <c r="H254" s="1753" t="s">
        <v>17</v>
      </c>
      <c r="I254" s="1753" t="s">
        <v>3042</v>
      </c>
      <c r="J254" t="s">
        <v>17</v>
      </c>
      <c r="K254" t="s">
        <v>871</v>
      </c>
      <c r="L254" t="s">
        <v>2207</v>
      </c>
      <c r="M254" t="s">
        <v>2208</v>
      </c>
      <c r="N254" t="s">
        <v>392</v>
      </c>
    </row>
    <row r="255" spans="1:14" ht="11.25" customHeight="1">
      <c r="A255" s="1753" t="s">
        <v>2199</v>
      </c>
      <c r="B255" s="1753" t="s">
        <v>14</v>
      </c>
      <c r="C255" s="1753" t="s">
        <v>3043</v>
      </c>
      <c r="D255" s="1753" t="s">
        <v>3044</v>
      </c>
      <c r="E255" s="1753" t="s">
        <v>3045</v>
      </c>
      <c r="F255" s="1753" t="s">
        <v>2301</v>
      </c>
      <c r="G255" s="1753" t="s">
        <v>3046</v>
      </c>
      <c r="H255" s="1753" t="s">
        <v>17</v>
      </c>
      <c r="I255" s="1753" t="s">
        <v>3047</v>
      </c>
      <c r="J255" t="s">
        <v>17</v>
      </c>
      <c r="K255" t="s">
        <v>871</v>
      </c>
      <c r="L255" t="s">
        <v>2207</v>
      </c>
      <c r="M255" t="s">
        <v>2208</v>
      </c>
      <c r="N255" t="s">
        <v>392</v>
      </c>
    </row>
    <row r="256" spans="1:14" ht="11.25" customHeight="1">
      <c r="A256" s="1753" t="s">
        <v>2199</v>
      </c>
      <c r="B256" s="1753" t="s">
        <v>14</v>
      </c>
      <c r="C256" s="1753" t="s">
        <v>3048</v>
      </c>
      <c r="D256" s="1753" t="s">
        <v>3049</v>
      </c>
      <c r="E256" s="1753" t="s">
        <v>3050</v>
      </c>
      <c r="F256" s="1753" t="s">
        <v>2380</v>
      </c>
      <c r="G256" s="1753" t="s">
        <v>17</v>
      </c>
      <c r="H256" s="1753" t="s">
        <v>17</v>
      </c>
      <c r="I256" s="1753" t="s">
        <v>3051</v>
      </c>
      <c r="J256" t="s">
        <v>17</v>
      </c>
      <c r="K256" t="s">
        <v>871</v>
      </c>
      <c r="L256" t="s">
        <v>2207</v>
      </c>
      <c r="M256" t="s">
        <v>2208</v>
      </c>
      <c r="N256" t="s">
        <v>392</v>
      </c>
    </row>
    <row r="257" spans="1:14" ht="11.25" customHeight="1">
      <c r="A257" s="1753" t="s">
        <v>2199</v>
      </c>
      <c r="B257" s="1753" t="s">
        <v>14</v>
      </c>
      <c r="C257" s="1753" t="s">
        <v>3052</v>
      </c>
      <c r="D257" s="1753" t="s">
        <v>3053</v>
      </c>
      <c r="E257" s="1753" t="s">
        <v>3054</v>
      </c>
      <c r="F257" s="1753" t="s">
        <v>2264</v>
      </c>
      <c r="G257" s="1753" t="s">
        <v>17</v>
      </c>
      <c r="H257" s="1753" t="s">
        <v>17</v>
      </c>
      <c r="I257" s="1753" t="s">
        <v>2657</v>
      </c>
      <c r="J257" t="s">
        <v>17</v>
      </c>
      <c r="K257" t="s">
        <v>871</v>
      </c>
      <c r="L257" t="s">
        <v>2207</v>
      </c>
      <c r="M257" t="s">
        <v>2208</v>
      </c>
      <c r="N257" t="s">
        <v>392</v>
      </c>
    </row>
    <row r="258" spans="1:14" ht="11.25" customHeight="1">
      <c r="A258" s="1753" t="s">
        <v>2199</v>
      </c>
      <c r="B258" s="1753" t="s">
        <v>14</v>
      </c>
      <c r="C258" s="1753" t="s">
        <v>3055</v>
      </c>
      <c r="D258" s="1753" t="s">
        <v>3056</v>
      </c>
      <c r="E258" s="1753" t="s">
        <v>3057</v>
      </c>
      <c r="F258" s="1753" t="s">
        <v>2203</v>
      </c>
      <c r="G258" s="1753" t="s">
        <v>17</v>
      </c>
      <c r="H258" s="1753" t="s">
        <v>17</v>
      </c>
      <c r="I258" s="1753" t="s">
        <v>2214</v>
      </c>
      <c r="J258" t="s">
        <v>17</v>
      </c>
      <c r="K258" t="s">
        <v>871</v>
      </c>
      <c r="L258" t="s">
        <v>2207</v>
      </c>
      <c r="M258" t="s">
        <v>2208</v>
      </c>
      <c r="N258" t="s">
        <v>392</v>
      </c>
    </row>
    <row r="259" spans="1:14" ht="11.25" customHeight="1">
      <c r="A259" s="1753" t="s">
        <v>2199</v>
      </c>
      <c r="B259" s="1753" t="s">
        <v>14</v>
      </c>
      <c r="C259" s="1753" t="s">
        <v>3058</v>
      </c>
      <c r="D259" s="1753" t="s">
        <v>3059</v>
      </c>
      <c r="E259" s="1753" t="s">
        <v>3060</v>
      </c>
      <c r="F259" s="1753" t="s">
        <v>2255</v>
      </c>
      <c r="G259" s="1753" t="s">
        <v>17</v>
      </c>
      <c r="H259" s="1753" t="s">
        <v>17</v>
      </c>
      <c r="I259" s="1753" t="s">
        <v>2246</v>
      </c>
      <c r="J259" t="s">
        <v>17</v>
      </c>
      <c r="K259" t="s">
        <v>871</v>
      </c>
      <c r="L259" t="s">
        <v>2207</v>
      </c>
      <c r="M259" t="s">
        <v>2208</v>
      </c>
      <c r="N259" t="s">
        <v>392</v>
      </c>
    </row>
    <row r="260" spans="1:14" ht="11.25" customHeight="1">
      <c r="A260" s="1753" t="s">
        <v>2199</v>
      </c>
      <c r="B260" s="1753" t="s">
        <v>14</v>
      </c>
      <c r="C260" s="1753" t="s">
        <v>3061</v>
      </c>
      <c r="D260" s="1753" t="s">
        <v>3062</v>
      </c>
      <c r="E260" s="1753" t="s">
        <v>3063</v>
      </c>
      <c r="F260" s="1753" t="s">
        <v>2255</v>
      </c>
      <c r="G260" s="1753" t="s">
        <v>17</v>
      </c>
      <c r="H260" s="1753" t="s">
        <v>17</v>
      </c>
      <c r="I260" s="1753" t="s">
        <v>2246</v>
      </c>
      <c r="J260" t="s">
        <v>17</v>
      </c>
      <c r="K260" t="s">
        <v>871</v>
      </c>
      <c r="L260" t="s">
        <v>2207</v>
      </c>
      <c r="M260" t="s">
        <v>2208</v>
      </c>
      <c r="N260" t="s">
        <v>392</v>
      </c>
    </row>
    <row r="261" spans="1:14" ht="11.25" customHeight="1">
      <c r="A261" s="1753" t="s">
        <v>2199</v>
      </c>
      <c r="B261" s="1753" t="s">
        <v>14</v>
      </c>
      <c r="C261" s="1753" t="s">
        <v>3064</v>
      </c>
      <c r="D261" s="1753" t="s">
        <v>3065</v>
      </c>
      <c r="E261" s="1753" t="s">
        <v>3066</v>
      </c>
      <c r="F261" s="1753" t="s">
        <v>3067</v>
      </c>
      <c r="G261" s="1753" t="s">
        <v>17</v>
      </c>
      <c r="H261" s="1753" t="s">
        <v>17</v>
      </c>
      <c r="I261" s="1753" t="s">
        <v>3068</v>
      </c>
      <c r="J261" t="s">
        <v>17</v>
      </c>
      <c r="K261" t="s">
        <v>871</v>
      </c>
      <c r="L261" t="s">
        <v>2207</v>
      </c>
      <c r="M261" t="s">
        <v>2208</v>
      </c>
      <c r="N261" t="s">
        <v>392</v>
      </c>
    </row>
    <row r="262" spans="1:14" ht="11.25" customHeight="1">
      <c r="A262" s="1753" t="s">
        <v>2199</v>
      </c>
      <c r="B262" s="1753" t="s">
        <v>14</v>
      </c>
      <c r="C262" s="1753" t="s">
        <v>3069</v>
      </c>
      <c r="D262" s="1753" t="s">
        <v>3070</v>
      </c>
      <c r="E262" s="1753" t="s">
        <v>3071</v>
      </c>
      <c r="F262" s="1753" t="s">
        <v>2632</v>
      </c>
      <c r="G262" s="1753" t="s">
        <v>17</v>
      </c>
      <c r="H262" s="1753" t="s">
        <v>17</v>
      </c>
      <c r="I262" s="1753" t="s">
        <v>2330</v>
      </c>
      <c r="J262" t="s">
        <v>17</v>
      </c>
      <c r="K262" t="s">
        <v>931</v>
      </c>
      <c r="L262" t="s">
        <v>2228</v>
      </c>
      <c r="M262" t="s">
        <v>2229</v>
      </c>
      <c r="N262" t="s">
        <v>392</v>
      </c>
    </row>
    <row r="263" spans="1:14" ht="11.25" customHeight="1">
      <c r="A263" s="1753" t="s">
        <v>2199</v>
      </c>
      <c r="B263" s="1753" t="s">
        <v>14</v>
      </c>
      <c r="C263" s="1753" t="s">
        <v>3072</v>
      </c>
      <c r="D263" s="1753" t="s">
        <v>3073</v>
      </c>
      <c r="E263" s="1753" t="s">
        <v>3074</v>
      </c>
      <c r="F263" s="1753" t="s">
        <v>2245</v>
      </c>
      <c r="G263" s="1753" t="s">
        <v>17</v>
      </c>
      <c r="H263" s="1753" t="s">
        <v>17</v>
      </c>
      <c r="I263" s="1753" t="s">
        <v>2246</v>
      </c>
      <c r="J263" t="s">
        <v>17</v>
      </c>
      <c r="K263" t="s">
        <v>803</v>
      </c>
      <c r="L263" t="s">
        <v>803</v>
      </c>
      <c r="M263" t="s">
        <v>2470</v>
      </c>
      <c r="N263" t="s">
        <v>392</v>
      </c>
    </row>
    <row r="264" spans="1:14" ht="11.25" customHeight="1">
      <c r="A264" s="1753" t="s">
        <v>2199</v>
      </c>
      <c r="B264" s="1753" t="s">
        <v>14</v>
      </c>
      <c r="C264" s="1753" t="s">
        <v>3075</v>
      </c>
      <c r="D264" s="1753" t="s">
        <v>3076</v>
      </c>
      <c r="E264" s="1753" t="s">
        <v>3077</v>
      </c>
      <c r="F264" s="1753" t="s">
        <v>2203</v>
      </c>
      <c r="G264" s="1753" t="s">
        <v>3078</v>
      </c>
      <c r="H264" s="1753" t="s">
        <v>17</v>
      </c>
      <c r="I264" s="1753" t="s">
        <v>2742</v>
      </c>
      <c r="J264" t="s">
        <v>17</v>
      </c>
      <c r="K264" t="s">
        <v>871</v>
      </c>
      <c r="L264" t="s">
        <v>2207</v>
      </c>
      <c r="M264" t="s">
        <v>2208</v>
      </c>
      <c r="N264" t="s">
        <v>392</v>
      </c>
    </row>
    <row r="265" spans="1:14" ht="11.25" customHeight="1">
      <c r="A265" s="1753" t="s">
        <v>2199</v>
      </c>
      <c r="B265" s="1753" t="s">
        <v>14</v>
      </c>
      <c r="C265" s="1753" t="s">
        <v>3079</v>
      </c>
      <c r="D265" s="1753" t="s">
        <v>3080</v>
      </c>
      <c r="E265" s="1753" t="s">
        <v>3081</v>
      </c>
      <c r="F265" s="1753" t="s">
        <v>2539</v>
      </c>
      <c r="G265" s="1753" t="s">
        <v>17</v>
      </c>
      <c r="H265" s="1753" t="s">
        <v>17</v>
      </c>
      <c r="I265" s="1753" t="s">
        <v>2330</v>
      </c>
      <c r="J265" t="s">
        <v>17</v>
      </c>
      <c r="K265" t="s">
        <v>871</v>
      </c>
      <c r="L265" t="s">
        <v>2207</v>
      </c>
      <c r="M265" t="s">
        <v>2208</v>
      </c>
      <c r="N265" t="s">
        <v>392</v>
      </c>
    </row>
    <row r="266" spans="1:14" ht="11.25" customHeight="1">
      <c r="A266" s="1753" t="s">
        <v>2199</v>
      </c>
      <c r="B266" s="1753" t="s">
        <v>14</v>
      </c>
      <c r="C266" s="1753" t="s">
        <v>3082</v>
      </c>
      <c r="D266" s="1753" t="s">
        <v>3083</v>
      </c>
      <c r="E266" s="1753" t="s">
        <v>3084</v>
      </c>
      <c r="F266" s="1753" t="s">
        <v>2273</v>
      </c>
      <c r="G266" s="1753" t="s">
        <v>17</v>
      </c>
      <c r="H266" s="1753" t="s">
        <v>17</v>
      </c>
      <c r="I266" s="1753" t="s">
        <v>2464</v>
      </c>
      <c r="J266" t="s">
        <v>17</v>
      </c>
      <c r="K266" t="s">
        <v>871</v>
      </c>
      <c r="L266" t="s">
        <v>2207</v>
      </c>
      <c r="M266" t="s">
        <v>2208</v>
      </c>
      <c r="N266" t="s">
        <v>392</v>
      </c>
    </row>
    <row r="267" spans="1:14" ht="11.25" customHeight="1">
      <c r="A267" s="1753" t="s">
        <v>2199</v>
      </c>
      <c r="B267" s="1753" t="s">
        <v>14</v>
      </c>
      <c r="C267" s="1753" t="s">
        <v>3085</v>
      </c>
      <c r="D267" s="1753" t="s">
        <v>3086</v>
      </c>
      <c r="E267" s="1753" t="s">
        <v>3087</v>
      </c>
      <c r="F267" s="1753" t="s">
        <v>2314</v>
      </c>
      <c r="G267" s="1753" t="s">
        <v>3088</v>
      </c>
      <c r="H267" s="1753" t="s">
        <v>17</v>
      </c>
      <c r="I267" s="1753" t="s">
        <v>3088</v>
      </c>
      <c r="J267" t="s">
        <v>17</v>
      </c>
      <c r="K267" t="s">
        <v>871</v>
      </c>
      <c r="L267" t="s">
        <v>2207</v>
      </c>
      <c r="M267" t="s">
        <v>2208</v>
      </c>
      <c r="N267" t="s">
        <v>392</v>
      </c>
    </row>
    <row r="268" spans="1:14" ht="11.25" customHeight="1">
      <c r="A268" s="1753" t="s">
        <v>2199</v>
      </c>
      <c r="B268" s="1753" t="s">
        <v>14</v>
      </c>
      <c r="C268" s="1753" t="s">
        <v>3089</v>
      </c>
      <c r="D268" s="1753" t="s">
        <v>3090</v>
      </c>
      <c r="E268" s="1753" t="s">
        <v>3091</v>
      </c>
      <c r="F268" s="1753" t="s">
        <v>3092</v>
      </c>
      <c r="G268" s="1753" t="s">
        <v>17</v>
      </c>
      <c r="H268" s="1753" t="s">
        <v>17</v>
      </c>
      <c r="I268" s="1753" t="s">
        <v>2239</v>
      </c>
      <c r="J268" t="s">
        <v>17</v>
      </c>
      <c r="K268" t="s">
        <v>871</v>
      </c>
      <c r="L268" t="s">
        <v>2207</v>
      </c>
      <c r="M268" t="s">
        <v>2208</v>
      </c>
      <c r="N268" t="s">
        <v>392</v>
      </c>
    </row>
    <row r="269" spans="1:14" ht="11.25" customHeight="1">
      <c r="A269" s="1753" t="s">
        <v>2199</v>
      </c>
      <c r="B269" s="1753" t="s">
        <v>14</v>
      </c>
      <c r="C269" s="1753" t="s">
        <v>3093</v>
      </c>
      <c r="D269" s="1753" t="s">
        <v>3094</v>
      </c>
      <c r="E269" s="1753" t="s">
        <v>3095</v>
      </c>
      <c r="F269" s="1753" t="s">
        <v>2255</v>
      </c>
      <c r="G269" s="1753" t="s">
        <v>17</v>
      </c>
      <c r="H269" s="1753" t="s">
        <v>17</v>
      </c>
      <c r="I269" s="1753" t="s">
        <v>2246</v>
      </c>
      <c r="J269" t="s">
        <v>17</v>
      </c>
      <c r="K269" t="s">
        <v>871</v>
      </c>
      <c r="L269" t="s">
        <v>2207</v>
      </c>
      <c r="M269" t="s">
        <v>2208</v>
      </c>
      <c r="N269" t="s">
        <v>392</v>
      </c>
    </row>
    <row r="270" spans="1:14" ht="11.25" customHeight="1">
      <c r="A270" s="1753" t="s">
        <v>2199</v>
      </c>
      <c r="B270" s="1753" t="s">
        <v>14</v>
      </c>
      <c r="C270" s="1753" t="s">
        <v>3096</v>
      </c>
      <c r="D270" s="1753" t="s">
        <v>3097</v>
      </c>
      <c r="E270" s="1753" t="s">
        <v>3098</v>
      </c>
      <c r="F270" s="1753" t="s">
        <v>2255</v>
      </c>
      <c r="G270" s="1753" t="s">
        <v>17</v>
      </c>
      <c r="H270" s="1753" t="s">
        <v>17</v>
      </c>
      <c r="I270" s="1753" t="s">
        <v>2246</v>
      </c>
      <c r="J270" t="s">
        <v>17</v>
      </c>
      <c r="K270" t="s">
        <v>871</v>
      </c>
      <c r="L270" t="s">
        <v>2207</v>
      </c>
      <c r="M270" t="s">
        <v>2208</v>
      </c>
      <c r="N270" t="s">
        <v>392</v>
      </c>
    </row>
    <row r="271" spans="1:14" ht="11.25" customHeight="1">
      <c r="A271" s="1753" t="s">
        <v>2199</v>
      </c>
      <c r="B271" s="1753" t="s">
        <v>14</v>
      </c>
      <c r="C271" s="1753" t="s">
        <v>3099</v>
      </c>
      <c r="D271" s="1753" t="s">
        <v>3100</v>
      </c>
      <c r="E271" s="1753" t="s">
        <v>3101</v>
      </c>
      <c r="F271" s="1753" t="s">
        <v>2665</v>
      </c>
      <c r="G271" s="1753" t="s">
        <v>17</v>
      </c>
      <c r="H271" s="1753" t="s">
        <v>17</v>
      </c>
      <c r="I271" s="1753" t="s">
        <v>2330</v>
      </c>
      <c r="J271" t="s">
        <v>17</v>
      </c>
      <c r="K271" t="s">
        <v>871</v>
      </c>
      <c r="L271" t="s">
        <v>2207</v>
      </c>
      <c r="M271" t="s">
        <v>2208</v>
      </c>
      <c r="N271" t="s">
        <v>392</v>
      </c>
    </row>
    <row r="272" spans="1:14" ht="11.25" customHeight="1">
      <c r="A272" s="1753" t="s">
        <v>2199</v>
      </c>
      <c r="B272" s="1753" t="s">
        <v>14</v>
      </c>
      <c r="C272" s="1753" t="s">
        <v>3102</v>
      </c>
      <c r="D272" s="1753" t="s">
        <v>3103</v>
      </c>
      <c r="E272" s="1753" t="s">
        <v>3104</v>
      </c>
      <c r="F272" s="1753" t="s">
        <v>2380</v>
      </c>
      <c r="G272" s="1753" t="s">
        <v>17</v>
      </c>
      <c r="H272" s="1753" t="s">
        <v>17</v>
      </c>
      <c r="I272" s="1753" t="s">
        <v>3105</v>
      </c>
      <c r="J272" t="s">
        <v>17</v>
      </c>
      <c r="K272" t="s">
        <v>896</v>
      </c>
      <c r="L272" t="s">
        <v>2283</v>
      </c>
      <c r="M272" t="s">
        <v>2284</v>
      </c>
      <c r="N272" t="s">
        <v>392</v>
      </c>
    </row>
    <row r="273" spans="1:14" ht="11.25" customHeight="1">
      <c r="A273" s="1753" t="s">
        <v>2199</v>
      </c>
      <c r="B273" s="1753" t="s">
        <v>14</v>
      </c>
      <c r="C273" s="1753" t="s">
        <v>3106</v>
      </c>
      <c r="D273" s="1753" t="s">
        <v>3107</v>
      </c>
      <c r="E273" s="1753" t="s">
        <v>3108</v>
      </c>
      <c r="F273" s="1753" t="s">
        <v>2670</v>
      </c>
      <c r="G273" s="1753" t="s">
        <v>17</v>
      </c>
      <c r="H273" s="1753" t="s">
        <v>17</v>
      </c>
      <c r="I273" s="1753" t="s">
        <v>2307</v>
      </c>
      <c r="J273" t="s">
        <v>17</v>
      </c>
      <c r="K273" t="s">
        <v>871</v>
      </c>
      <c r="L273" t="s">
        <v>2207</v>
      </c>
      <c r="M273" t="s">
        <v>2208</v>
      </c>
      <c r="N273" t="s">
        <v>392</v>
      </c>
    </row>
    <row r="274" spans="1:14" ht="11.25" customHeight="1">
      <c r="A274" s="1753" t="s">
        <v>2199</v>
      </c>
      <c r="B274" s="1753" t="s">
        <v>14</v>
      </c>
      <c r="C274" s="1753" t="s">
        <v>3109</v>
      </c>
      <c r="D274" s="1753" t="s">
        <v>3110</v>
      </c>
      <c r="E274" s="1753" t="s">
        <v>3111</v>
      </c>
      <c r="F274" s="1753" t="s">
        <v>3112</v>
      </c>
      <c r="G274" s="1753" t="s">
        <v>17</v>
      </c>
      <c r="H274" s="1753" t="s">
        <v>17</v>
      </c>
      <c r="I274" s="1753" t="s">
        <v>2246</v>
      </c>
      <c r="J274" t="s">
        <v>17</v>
      </c>
      <c r="K274" t="s">
        <v>871</v>
      </c>
      <c r="L274" t="s">
        <v>2207</v>
      </c>
      <c r="M274" t="s">
        <v>2208</v>
      </c>
      <c r="N274" t="s">
        <v>392</v>
      </c>
    </row>
    <row r="275" spans="1:14" ht="11.25" customHeight="1">
      <c r="A275" s="1753" t="s">
        <v>2199</v>
      </c>
      <c r="B275" s="1753" t="s">
        <v>14</v>
      </c>
      <c r="C275" s="1753" t="s">
        <v>3113</v>
      </c>
      <c r="D275" s="1753" t="s">
        <v>3114</v>
      </c>
      <c r="E275" s="1753" t="s">
        <v>3115</v>
      </c>
      <c r="F275" s="1753" t="s">
        <v>2457</v>
      </c>
      <c r="G275" s="1753" t="s">
        <v>17</v>
      </c>
      <c r="H275" s="1753" t="s">
        <v>17</v>
      </c>
      <c r="I275" s="1753" t="s">
        <v>2330</v>
      </c>
      <c r="J275" t="s">
        <v>17</v>
      </c>
      <c r="K275" t="s">
        <v>871</v>
      </c>
      <c r="L275" t="s">
        <v>2207</v>
      </c>
      <c r="M275" t="s">
        <v>2208</v>
      </c>
      <c r="N275" t="s">
        <v>392</v>
      </c>
    </row>
    <row r="276" spans="1:14" ht="11.25" customHeight="1">
      <c r="A276" s="1753" t="s">
        <v>2199</v>
      </c>
      <c r="B276" s="1753" t="s">
        <v>14</v>
      </c>
      <c r="C276" s="1753" t="s">
        <v>3116</v>
      </c>
      <c r="D276" s="1753" t="s">
        <v>3117</v>
      </c>
      <c r="E276" s="1753" t="s">
        <v>3118</v>
      </c>
      <c r="F276" s="1753" t="s">
        <v>2203</v>
      </c>
      <c r="G276" s="1753" t="s">
        <v>17</v>
      </c>
      <c r="H276" s="1753" t="s">
        <v>17</v>
      </c>
      <c r="I276" s="1753" t="s">
        <v>3119</v>
      </c>
      <c r="J276" t="s">
        <v>17</v>
      </c>
      <c r="K276" t="s">
        <v>871</v>
      </c>
      <c r="L276" t="s">
        <v>2207</v>
      </c>
      <c r="M276" t="s">
        <v>2208</v>
      </c>
      <c r="N276" t="s">
        <v>392</v>
      </c>
    </row>
    <row r="277" spans="1:14" ht="11.25" customHeight="1">
      <c r="A277" s="1753" t="s">
        <v>2199</v>
      </c>
      <c r="B277" s="1753" t="s">
        <v>14</v>
      </c>
      <c r="C277" s="1753" t="s">
        <v>3120</v>
      </c>
      <c r="D277" s="1753" t="s">
        <v>3121</v>
      </c>
      <c r="E277" s="1753" t="s">
        <v>3122</v>
      </c>
      <c r="F277" s="1753" t="s">
        <v>3123</v>
      </c>
      <c r="G277" s="1753" t="s">
        <v>17</v>
      </c>
      <c r="H277" s="1753" t="s">
        <v>17</v>
      </c>
      <c r="I277" s="1753" t="s">
        <v>3124</v>
      </c>
      <c r="J277" t="s">
        <v>17</v>
      </c>
      <c r="K277" t="s">
        <v>775</v>
      </c>
      <c r="L277" t="s">
        <v>2231</v>
      </c>
      <c r="M277" t="s">
        <v>2232</v>
      </c>
      <c r="N277" t="s">
        <v>392</v>
      </c>
    </row>
    <row r="278" spans="1:14" ht="11.25" customHeight="1">
      <c r="A278" s="1753" t="s">
        <v>2199</v>
      </c>
      <c r="B278" s="1753" t="s">
        <v>14</v>
      </c>
      <c r="C278" s="1753" t="s">
        <v>3120</v>
      </c>
      <c r="D278" s="1753" t="s">
        <v>3121</v>
      </c>
      <c r="E278" s="1753" t="s">
        <v>3122</v>
      </c>
      <c r="F278" s="1753" t="s">
        <v>3123</v>
      </c>
      <c r="G278" s="1753" t="s">
        <v>17</v>
      </c>
      <c r="H278" s="1753" t="s">
        <v>17</v>
      </c>
      <c r="I278" s="1753" t="s">
        <v>2661</v>
      </c>
      <c r="J278" t="s">
        <v>17</v>
      </c>
      <c r="K278" t="s">
        <v>931</v>
      </c>
      <c r="L278" t="s">
        <v>2228</v>
      </c>
      <c r="M278" t="s">
        <v>2229</v>
      </c>
      <c r="N278" t="s">
        <v>392</v>
      </c>
    </row>
    <row r="279" spans="1:14" ht="11.25" customHeight="1">
      <c r="A279" s="1753" t="s">
        <v>2199</v>
      </c>
      <c r="B279" s="1753" t="s">
        <v>14</v>
      </c>
      <c r="C279" s="1753" t="s">
        <v>3120</v>
      </c>
      <c r="D279" s="1753" t="s">
        <v>3121</v>
      </c>
      <c r="E279" s="1753" t="s">
        <v>3122</v>
      </c>
      <c r="F279" s="1753" t="s">
        <v>3123</v>
      </c>
      <c r="G279" s="1753" t="s">
        <v>17</v>
      </c>
      <c r="H279" s="1753" t="s">
        <v>17</v>
      </c>
      <c r="I279" s="1753" t="s">
        <v>2330</v>
      </c>
      <c r="J279" t="s">
        <v>17</v>
      </c>
      <c r="K279" t="s">
        <v>931</v>
      </c>
      <c r="L279" t="s">
        <v>2228</v>
      </c>
      <c r="M279" t="s">
        <v>2229</v>
      </c>
      <c r="N279" t="s">
        <v>392</v>
      </c>
    </row>
    <row r="280" spans="1:14" ht="11.25" customHeight="1">
      <c r="A280" s="1753" t="s">
        <v>2199</v>
      </c>
      <c r="B280" s="1753" t="s">
        <v>14</v>
      </c>
      <c r="C280" s="1753" t="s">
        <v>3120</v>
      </c>
      <c r="D280" s="1753" t="s">
        <v>3121</v>
      </c>
      <c r="E280" s="1753" t="s">
        <v>3122</v>
      </c>
      <c r="F280" s="1753" t="s">
        <v>3123</v>
      </c>
      <c r="G280" s="1753" t="s">
        <v>17</v>
      </c>
      <c r="H280" s="1753" t="s">
        <v>17</v>
      </c>
      <c r="I280" s="1753" t="s">
        <v>2330</v>
      </c>
      <c r="J280" t="s">
        <v>17</v>
      </c>
      <c r="K280" t="s">
        <v>871</v>
      </c>
      <c r="L280" t="s">
        <v>2207</v>
      </c>
      <c r="M280" t="s">
        <v>2208</v>
      </c>
      <c r="N280" t="s">
        <v>392</v>
      </c>
    </row>
    <row r="281" spans="1:14" ht="11.25" customHeight="1">
      <c r="A281" s="1753" t="s">
        <v>2199</v>
      </c>
      <c r="B281" s="1753" t="s">
        <v>14</v>
      </c>
      <c r="C281" s="1753" t="s">
        <v>3120</v>
      </c>
      <c r="D281" s="1753" t="s">
        <v>3121</v>
      </c>
      <c r="E281" s="1753" t="s">
        <v>3122</v>
      </c>
      <c r="F281" s="1753" t="s">
        <v>3123</v>
      </c>
      <c r="G281" s="1753" t="s">
        <v>17</v>
      </c>
      <c r="H281" s="1753" t="s">
        <v>17</v>
      </c>
      <c r="I281" s="1753" t="s">
        <v>2330</v>
      </c>
      <c r="J281" t="s">
        <v>17</v>
      </c>
      <c r="K281" t="s">
        <v>775</v>
      </c>
      <c r="L281" t="s">
        <v>2231</v>
      </c>
      <c r="M281" t="s">
        <v>2232</v>
      </c>
      <c r="N281" t="s">
        <v>392</v>
      </c>
    </row>
    <row r="282" spans="1:14" ht="11.25" customHeight="1">
      <c r="A282" s="1753" t="s">
        <v>2199</v>
      </c>
      <c r="B282" s="1753" t="s">
        <v>14</v>
      </c>
      <c r="C282" s="1753" t="s">
        <v>3125</v>
      </c>
      <c r="D282" s="1753" t="s">
        <v>3126</v>
      </c>
      <c r="E282" s="1753" t="s">
        <v>3127</v>
      </c>
      <c r="F282" s="1753" t="s">
        <v>2351</v>
      </c>
      <c r="G282" s="1753" t="s">
        <v>17</v>
      </c>
      <c r="H282" s="1753" t="s">
        <v>17</v>
      </c>
      <c r="I282" s="1753" t="s">
        <v>3128</v>
      </c>
      <c r="J282" t="s">
        <v>17</v>
      </c>
      <c r="K282" t="s">
        <v>803</v>
      </c>
      <c r="L282" t="s">
        <v>803</v>
      </c>
      <c r="M282" t="s">
        <v>2470</v>
      </c>
      <c r="N282" t="s">
        <v>392</v>
      </c>
    </row>
    <row r="283" spans="1:14" ht="11.25" customHeight="1">
      <c r="A283" s="1753" t="s">
        <v>2199</v>
      </c>
      <c r="B283" s="1753" t="s">
        <v>14</v>
      </c>
      <c r="C283" s="1753" t="s">
        <v>3129</v>
      </c>
      <c r="D283" s="1753" t="s">
        <v>3130</v>
      </c>
      <c r="E283" s="1753" t="s">
        <v>3131</v>
      </c>
      <c r="F283" s="1753" t="s">
        <v>3132</v>
      </c>
      <c r="G283" s="1753" t="s">
        <v>17</v>
      </c>
      <c r="H283" s="1753" t="s">
        <v>17</v>
      </c>
      <c r="I283" s="1753" t="s">
        <v>3133</v>
      </c>
      <c r="J283" t="s">
        <v>17</v>
      </c>
      <c r="K283" t="s">
        <v>871</v>
      </c>
      <c r="L283" t="s">
        <v>2207</v>
      </c>
      <c r="M283" t="s">
        <v>2208</v>
      </c>
      <c r="N283" t="s">
        <v>392</v>
      </c>
    </row>
    <row r="284" spans="1:14" ht="11.25" customHeight="1">
      <c r="A284" s="1753" t="s">
        <v>2199</v>
      </c>
      <c r="B284" s="1753" t="s">
        <v>14</v>
      </c>
      <c r="C284" s="1753" t="s">
        <v>3129</v>
      </c>
      <c r="D284" s="1753" t="s">
        <v>3130</v>
      </c>
      <c r="E284" s="1753" t="s">
        <v>3131</v>
      </c>
      <c r="F284" s="1753" t="s">
        <v>3132</v>
      </c>
      <c r="G284" s="1753" t="s">
        <v>17</v>
      </c>
      <c r="H284" s="1753" t="s">
        <v>17</v>
      </c>
      <c r="I284" s="1753" t="s">
        <v>2330</v>
      </c>
      <c r="J284" t="s">
        <v>17</v>
      </c>
      <c r="K284" t="s">
        <v>871</v>
      </c>
      <c r="L284" t="s">
        <v>2207</v>
      </c>
      <c r="M284" t="s">
        <v>2208</v>
      </c>
      <c r="N284" t="s">
        <v>392</v>
      </c>
    </row>
    <row r="285" spans="1:14" ht="11.25" customHeight="1">
      <c r="A285" s="1753" t="s">
        <v>2199</v>
      </c>
      <c r="B285" s="1753" t="s">
        <v>14</v>
      </c>
      <c r="C285" s="1753" t="s">
        <v>3134</v>
      </c>
      <c r="D285" s="1753" t="s">
        <v>3135</v>
      </c>
      <c r="E285" s="1753" t="s">
        <v>3136</v>
      </c>
      <c r="F285" s="1753" t="s">
        <v>2259</v>
      </c>
      <c r="G285" s="1753" t="s">
        <v>17</v>
      </c>
      <c r="H285" s="1753" t="s">
        <v>17</v>
      </c>
      <c r="I285" s="1753" t="s">
        <v>2307</v>
      </c>
      <c r="J285" t="s">
        <v>17</v>
      </c>
      <c r="K285" t="s">
        <v>775</v>
      </c>
      <c r="L285" t="s">
        <v>2247</v>
      </c>
      <c r="M285" t="s">
        <v>2248</v>
      </c>
      <c r="N285" t="s">
        <v>392</v>
      </c>
    </row>
    <row r="286" spans="1:14" ht="11.25" customHeight="1">
      <c r="A286" s="1753" t="s">
        <v>2199</v>
      </c>
      <c r="B286" s="1753" t="s">
        <v>14</v>
      </c>
      <c r="C286" s="1753" t="s">
        <v>3134</v>
      </c>
      <c r="D286" s="1753" t="s">
        <v>3135</v>
      </c>
      <c r="E286" s="1753" t="s">
        <v>3136</v>
      </c>
      <c r="F286" s="1753" t="s">
        <v>2259</v>
      </c>
      <c r="G286" s="1753" t="s">
        <v>17</v>
      </c>
      <c r="H286" s="1753" t="s">
        <v>17</v>
      </c>
      <c r="I286" s="1753" t="s">
        <v>2307</v>
      </c>
      <c r="J286" t="s">
        <v>17</v>
      </c>
      <c r="K286" t="s">
        <v>871</v>
      </c>
      <c r="L286" t="s">
        <v>2247</v>
      </c>
      <c r="M286" t="s">
        <v>2248</v>
      </c>
      <c r="N286" t="s">
        <v>392</v>
      </c>
    </row>
    <row r="287" spans="1:14" ht="11.25" customHeight="1">
      <c r="A287" s="1753" t="s">
        <v>2199</v>
      </c>
      <c r="B287" s="1753" t="s">
        <v>14</v>
      </c>
      <c r="C287" s="1753" t="s">
        <v>3134</v>
      </c>
      <c r="D287" s="1753" t="s">
        <v>3135</v>
      </c>
      <c r="E287" s="1753" t="s">
        <v>3136</v>
      </c>
      <c r="F287" s="1753" t="s">
        <v>2259</v>
      </c>
      <c r="G287" s="1753" t="s">
        <v>17</v>
      </c>
      <c r="H287" s="1753" t="s">
        <v>17</v>
      </c>
      <c r="I287" s="1753" t="s">
        <v>2307</v>
      </c>
      <c r="J287" t="s">
        <v>17</v>
      </c>
      <c r="K287" t="s">
        <v>839</v>
      </c>
      <c r="L287" t="s">
        <v>2247</v>
      </c>
      <c r="M287" t="s">
        <v>2248</v>
      </c>
      <c r="N287" t="s">
        <v>392</v>
      </c>
    </row>
    <row r="288" spans="1:14" ht="11.25" customHeight="1">
      <c r="A288" s="1753" t="s">
        <v>2199</v>
      </c>
      <c r="B288" s="1753" t="s">
        <v>14</v>
      </c>
      <c r="C288" s="1753" t="s">
        <v>3134</v>
      </c>
      <c r="D288" s="1753" t="s">
        <v>3135</v>
      </c>
      <c r="E288" s="1753" t="s">
        <v>3136</v>
      </c>
      <c r="F288" s="1753" t="s">
        <v>2259</v>
      </c>
      <c r="G288" s="1753" t="s">
        <v>17</v>
      </c>
      <c r="H288" s="1753" t="s">
        <v>17</v>
      </c>
      <c r="I288" s="1753" t="s">
        <v>2246</v>
      </c>
      <c r="J288" t="s">
        <v>17</v>
      </c>
      <c r="K288" t="s">
        <v>871</v>
      </c>
      <c r="L288" t="s">
        <v>2207</v>
      </c>
      <c r="M288" t="s">
        <v>2208</v>
      </c>
      <c r="N288" t="s">
        <v>392</v>
      </c>
    </row>
    <row r="289" spans="1:14" ht="11.25" customHeight="1">
      <c r="A289" s="1753" t="s">
        <v>2199</v>
      </c>
      <c r="B289" s="1753" t="s">
        <v>14</v>
      </c>
      <c r="C289" s="1753" t="s">
        <v>3137</v>
      </c>
      <c r="D289" s="1753" t="s">
        <v>3138</v>
      </c>
      <c r="E289" s="1753" t="s">
        <v>3139</v>
      </c>
      <c r="F289" s="1753" t="s">
        <v>2665</v>
      </c>
      <c r="G289" s="1753" t="s">
        <v>3140</v>
      </c>
      <c r="H289" s="1753" t="s">
        <v>17</v>
      </c>
      <c r="I289" s="1753" t="s">
        <v>2330</v>
      </c>
      <c r="J289" t="s">
        <v>17</v>
      </c>
      <c r="K289" t="s">
        <v>871</v>
      </c>
      <c r="L289" t="s">
        <v>2207</v>
      </c>
      <c r="M289" t="s">
        <v>2208</v>
      </c>
      <c r="N289" t="s">
        <v>392</v>
      </c>
    </row>
    <row r="290" spans="1:14" ht="11.25" customHeight="1">
      <c r="A290" s="1753" t="s">
        <v>2199</v>
      </c>
      <c r="B290" s="1753" t="s">
        <v>14</v>
      </c>
      <c r="C290" s="1753" t="s">
        <v>3141</v>
      </c>
      <c r="D290" s="1753" t="s">
        <v>3142</v>
      </c>
      <c r="E290" s="1753" t="s">
        <v>3143</v>
      </c>
      <c r="F290" s="1753" t="s">
        <v>2408</v>
      </c>
      <c r="G290" s="1753" t="s">
        <v>17</v>
      </c>
      <c r="H290" s="1753" t="s">
        <v>17</v>
      </c>
      <c r="I290" s="1753" t="s">
        <v>2330</v>
      </c>
      <c r="J290" t="s">
        <v>17</v>
      </c>
      <c r="K290" t="s">
        <v>915</v>
      </c>
      <c r="L290" t="s">
        <v>2240</v>
      </c>
      <c r="M290" t="s">
        <v>2241</v>
      </c>
      <c r="N290" t="s">
        <v>392</v>
      </c>
    </row>
    <row r="291" spans="1:14" ht="11.25" customHeight="1">
      <c r="A291" s="1753" t="s">
        <v>2199</v>
      </c>
      <c r="B291" s="1753" t="s">
        <v>14</v>
      </c>
      <c r="C291" s="1753" t="s">
        <v>3144</v>
      </c>
      <c r="D291" s="1753" t="s">
        <v>3145</v>
      </c>
      <c r="E291" s="1753" t="s">
        <v>3146</v>
      </c>
      <c r="F291" s="1753" t="s">
        <v>2420</v>
      </c>
      <c r="G291" s="1753" t="s">
        <v>17</v>
      </c>
      <c r="H291" s="1753" t="s">
        <v>17</v>
      </c>
      <c r="I291" s="1753" t="s">
        <v>2330</v>
      </c>
      <c r="J291" t="s">
        <v>17</v>
      </c>
      <c r="K291" t="s">
        <v>871</v>
      </c>
      <c r="L291" t="s">
        <v>2207</v>
      </c>
      <c r="M291" t="s">
        <v>2208</v>
      </c>
      <c r="N291" t="s">
        <v>392</v>
      </c>
    </row>
    <row r="292" spans="1:14" ht="11.25" customHeight="1">
      <c r="A292" s="1753" t="s">
        <v>2199</v>
      </c>
      <c r="B292" s="1753" t="s">
        <v>14</v>
      </c>
      <c r="C292" s="1753" t="s">
        <v>3147</v>
      </c>
      <c r="D292" s="1753" t="s">
        <v>3148</v>
      </c>
      <c r="E292" s="1753" t="s">
        <v>3149</v>
      </c>
      <c r="F292" s="1753" t="s">
        <v>2506</v>
      </c>
      <c r="G292" s="1753" t="s">
        <v>17</v>
      </c>
      <c r="H292" s="1753" t="s">
        <v>17</v>
      </c>
      <c r="I292" s="1753" t="s">
        <v>2330</v>
      </c>
      <c r="J292" t="s">
        <v>17</v>
      </c>
      <c r="K292" t="s">
        <v>871</v>
      </c>
      <c r="L292" t="s">
        <v>2207</v>
      </c>
      <c r="M292" t="s">
        <v>2208</v>
      </c>
      <c r="N292" t="s">
        <v>392</v>
      </c>
    </row>
    <row r="293" spans="1:14" ht="11.25" customHeight="1">
      <c r="A293" s="1753" t="s">
        <v>2199</v>
      </c>
      <c r="B293" s="1753" t="s">
        <v>14</v>
      </c>
      <c r="C293" s="1753" t="s">
        <v>3150</v>
      </c>
      <c r="D293" s="1753" t="s">
        <v>3151</v>
      </c>
      <c r="E293" s="1753" t="s">
        <v>3152</v>
      </c>
      <c r="F293" s="1753" t="s">
        <v>2665</v>
      </c>
      <c r="G293" s="1753" t="s">
        <v>3153</v>
      </c>
      <c r="H293" s="1753" t="s">
        <v>17</v>
      </c>
      <c r="I293" s="1753" t="s">
        <v>2330</v>
      </c>
      <c r="J293" t="s">
        <v>17</v>
      </c>
      <c r="K293" t="s">
        <v>871</v>
      </c>
      <c r="L293" t="s">
        <v>2207</v>
      </c>
      <c r="M293" t="s">
        <v>2208</v>
      </c>
      <c r="N293" t="s">
        <v>392</v>
      </c>
    </row>
    <row r="294" spans="1:14" ht="11.25" customHeight="1">
      <c r="A294" s="1753" t="s">
        <v>2199</v>
      </c>
      <c r="B294" s="1753" t="s">
        <v>14</v>
      </c>
      <c r="C294" s="1753" t="s">
        <v>3154</v>
      </c>
      <c r="D294" s="1753" t="s">
        <v>3155</v>
      </c>
      <c r="E294" s="1753" t="s">
        <v>3156</v>
      </c>
      <c r="F294" s="1753" t="s">
        <v>3157</v>
      </c>
      <c r="G294" s="1753" t="s">
        <v>17</v>
      </c>
      <c r="H294" s="1753" t="s">
        <v>17</v>
      </c>
      <c r="I294" s="1753" t="s">
        <v>2827</v>
      </c>
      <c r="J294" t="s">
        <v>17</v>
      </c>
      <c r="K294" t="s">
        <v>871</v>
      </c>
      <c r="L294" t="s">
        <v>2207</v>
      </c>
      <c r="M294" t="s">
        <v>2208</v>
      </c>
      <c r="N294" t="s">
        <v>392</v>
      </c>
    </row>
    <row r="295" spans="1:14" ht="11.25" customHeight="1">
      <c r="A295" s="1753" t="s">
        <v>2199</v>
      </c>
      <c r="B295" s="1753" t="s">
        <v>14</v>
      </c>
      <c r="C295" s="1753" t="s">
        <v>3154</v>
      </c>
      <c r="D295" s="1753" t="s">
        <v>3155</v>
      </c>
      <c r="E295" s="1753" t="s">
        <v>3156</v>
      </c>
      <c r="F295" s="1753" t="s">
        <v>3157</v>
      </c>
      <c r="G295" s="1753" t="s">
        <v>17</v>
      </c>
      <c r="H295" s="1753" t="s">
        <v>17</v>
      </c>
      <c r="I295" s="1753" t="s">
        <v>3158</v>
      </c>
      <c r="J295" t="s">
        <v>17</v>
      </c>
      <c r="K295" t="s">
        <v>775</v>
      </c>
      <c r="L295" t="s">
        <v>3159</v>
      </c>
      <c r="M295" t="s">
        <v>3160</v>
      </c>
      <c r="N295" t="s">
        <v>392</v>
      </c>
    </row>
    <row r="296" spans="1:14" ht="11.25" customHeight="1">
      <c r="A296" s="1753" t="s">
        <v>2199</v>
      </c>
      <c r="B296" s="1753" t="s">
        <v>14</v>
      </c>
      <c r="C296" s="1753" t="s">
        <v>3154</v>
      </c>
      <c r="D296" s="1753" t="s">
        <v>3155</v>
      </c>
      <c r="E296" s="1753" t="s">
        <v>3156</v>
      </c>
      <c r="F296" s="1753" t="s">
        <v>3157</v>
      </c>
      <c r="G296" s="1753" t="s">
        <v>17</v>
      </c>
      <c r="H296" s="1753" t="s">
        <v>17</v>
      </c>
      <c r="I296" s="1753" t="s">
        <v>3158</v>
      </c>
      <c r="J296" t="s">
        <v>17</v>
      </c>
      <c r="K296" t="s">
        <v>839</v>
      </c>
      <c r="L296" t="s">
        <v>3159</v>
      </c>
      <c r="M296" t="s">
        <v>3160</v>
      </c>
      <c r="N296" t="s">
        <v>392</v>
      </c>
    </row>
    <row r="297" spans="1:14" ht="11.25" customHeight="1">
      <c r="A297" s="1753" t="s">
        <v>2199</v>
      </c>
      <c r="B297" s="1753" t="s">
        <v>14</v>
      </c>
      <c r="C297" s="1753" t="s">
        <v>3154</v>
      </c>
      <c r="D297" s="1753" t="s">
        <v>3155</v>
      </c>
      <c r="E297" s="1753" t="s">
        <v>3156</v>
      </c>
      <c r="F297" s="1753" t="s">
        <v>3157</v>
      </c>
      <c r="G297" s="1753" t="s">
        <v>17</v>
      </c>
      <c r="H297" s="1753" t="s">
        <v>17</v>
      </c>
      <c r="I297" s="1753" t="s">
        <v>3161</v>
      </c>
      <c r="J297" t="s">
        <v>17</v>
      </c>
      <c r="K297" t="s">
        <v>2249</v>
      </c>
      <c r="L297" t="s">
        <v>2250</v>
      </c>
      <c r="M297" t="s">
        <v>2251</v>
      </c>
      <c r="N297" t="s">
        <v>392</v>
      </c>
    </row>
    <row r="298" spans="1:14" ht="11.25" customHeight="1">
      <c r="A298" s="1753" t="s">
        <v>2199</v>
      </c>
      <c r="B298" s="1753" t="s">
        <v>14</v>
      </c>
      <c r="C298" s="1753" t="s">
        <v>3154</v>
      </c>
      <c r="D298" s="1753" t="s">
        <v>3155</v>
      </c>
      <c r="E298" s="1753" t="s">
        <v>3156</v>
      </c>
      <c r="F298" s="1753" t="s">
        <v>3157</v>
      </c>
      <c r="G298" s="1753" t="s">
        <v>17</v>
      </c>
      <c r="H298" s="1753" t="s">
        <v>17</v>
      </c>
      <c r="I298" s="1753" t="s">
        <v>2330</v>
      </c>
      <c r="J298" t="s">
        <v>17</v>
      </c>
      <c r="K298" t="s">
        <v>871</v>
      </c>
      <c r="L298" t="s">
        <v>2207</v>
      </c>
      <c r="M298" t="s">
        <v>2208</v>
      </c>
      <c r="N298" t="s">
        <v>392</v>
      </c>
    </row>
    <row r="299" spans="1:14" ht="11.25" customHeight="1">
      <c r="A299" s="1753" t="s">
        <v>2199</v>
      </c>
      <c r="B299" s="1753" t="s">
        <v>14</v>
      </c>
      <c r="C299" s="1753" t="s">
        <v>3154</v>
      </c>
      <c r="D299" s="1753" t="s">
        <v>3155</v>
      </c>
      <c r="E299" s="1753" t="s">
        <v>3156</v>
      </c>
      <c r="F299" s="1753" t="s">
        <v>3157</v>
      </c>
      <c r="G299" s="1753" t="s">
        <v>17</v>
      </c>
      <c r="H299" s="1753" t="s">
        <v>17</v>
      </c>
      <c r="I299" s="1753" t="s">
        <v>2330</v>
      </c>
      <c r="J299" t="s">
        <v>17</v>
      </c>
      <c r="K299" t="s">
        <v>2249</v>
      </c>
      <c r="L299" t="s">
        <v>2250</v>
      </c>
      <c r="M299" t="s">
        <v>2251</v>
      </c>
      <c r="N299" t="s">
        <v>392</v>
      </c>
    </row>
    <row r="300" spans="1:14" ht="11.25" customHeight="1">
      <c r="A300" s="1753" t="s">
        <v>2199</v>
      </c>
      <c r="B300" s="1753" t="s">
        <v>14</v>
      </c>
      <c r="C300" s="1753" t="s">
        <v>3162</v>
      </c>
      <c r="D300" s="1753" t="s">
        <v>3163</v>
      </c>
      <c r="E300" s="1753" t="s">
        <v>3164</v>
      </c>
      <c r="F300" s="1753" t="s">
        <v>3165</v>
      </c>
      <c r="G300" s="1753" t="s">
        <v>17</v>
      </c>
      <c r="H300" s="1753" t="s">
        <v>17</v>
      </c>
      <c r="I300" s="1753" t="s">
        <v>2214</v>
      </c>
      <c r="J300" t="s">
        <v>17</v>
      </c>
      <c r="K300" t="s">
        <v>871</v>
      </c>
      <c r="L300" t="s">
        <v>2207</v>
      </c>
      <c r="M300" t="s">
        <v>2208</v>
      </c>
      <c r="N300" t="s">
        <v>392</v>
      </c>
    </row>
    <row r="301" spans="1:14" ht="11.25" customHeight="1">
      <c r="A301" s="1753" t="s">
        <v>2199</v>
      </c>
      <c r="B301" s="1753" t="s">
        <v>14</v>
      </c>
      <c r="C301" s="1753" t="s">
        <v>3166</v>
      </c>
      <c r="D301" s="1753" t="s">
        <v>3167</v>
      </c>
      <c r="E301" s="1753" t="s">
        <v>3127</v>
      </c>
      <c r="F301" s="1753" t="s">
        <v>3168</v>
      </c>
      <c r="G301" s="1753" t="s">
        <v>17</v>
      </c>
      <c r="H301" s="1753" t="s">
        <v>17</v>
      </c>
      <c r="I301" s="1753" t="s">
        <v>2326</v>
      </c>
      <c r="J301" t="s">
        <v>17</v>
      </c>
      <c r="K301" t="s">
        <v>871</v>
      </c>
      <c r="L301" t="s">
        <v>2207</v>
      </c>
      <c r="M301" t="s">
        <v>2208</v>
      </c>
      <c r="N301" t="s">
        <v>392</v>
      </c>
    </row>
    <row r="302" spans="1:14" ht="11.25" customHeight="1">
      <c r="A302" s="1753" t="s">
        <v>2199</v>
      </c>
      <c r="B302" s="1753" t="s">
        <v>14</v>
      </c>
      <c r="C302" s="1753" t="s">
        <v>3169</v>
      </c>
      <c r="D302" s="1753" t="s">
        <v>3170</v>
      </c>
      <c r="E302" s="1753" t="s">
        <v>3164</v>
      </c>
      <c r="F302" s="1753" t="s">
        <v>3171</v>
      </c>
      <c r="G302" s="1753" t="s">
        <v>17</v>
      </c>
      <c r="H302" s="1753" t="s">
        <v>17</v>
      </c>
      <c r="I302" s="1753" t="s">
        <v>3172</v>
      </c>
      <c r="J302" t="s">
        <v>17</v>
      </c>
      <c r="K302" t="s">
        <v>931</v>
      </c>
      <c r="L302" t="s">
        <v>2228</v>
      </c>
      <c r="M302" t="s">
        <v>2229</v>
      </c>
      <c r="N302" t="s">
        <v>392</v>
      </c>
    </row>
    <row r="303" spans="1:14" ht="11.25" customHeight="1">
      <c r="A303" s="1753" t="s">
        <v>2199</v>
      </c>
      <c r="B303" s="1753" t="s">
        <v>14</v>
      </c>
      <c r="C303" s="1753" t="s">
        <v>2200</v>
      </c>
      <c r="D303" s="1753" t="s">
        <v>2201</v>
      </c>
      <c r="E303" s="1753" t="s">
        <v>2202</v>
      </c>
      <c r="F303" s="1753" t="s">
        <v>2203</v>
      </c>
      <c r="G303" s="1753" t="s">
        <v>2204</v>
      </c>
      <c r="H303" s="1753" t="s">
        <v>17</v>
      </c>
      <c r="I303" s="1753" t="s">
        <v>3173</v>
      </c>
      <c r="J303" t="s">
        <v>2206</v>
      </c>
      <c r="K303" t="s">
        <v>3174</v>
      </c>
      <c r="L303" t="s">
        <v>3175</v>
      </c>
      <c r="M303" t="s">
        <v>3176</v>
      </c>
      <c r="N303" t="s">
        <v>395</v>
      </c>
    </row>
    <row r="304" spans="1:14" ht="11.25" customHeight="1">
      <c r="A304" s="1753" t="s">
        <v>2199</v>
      </c>
      <c r="B304" s="1753" t="s">
        <v>14</v>
      </c>
      <c r="C304" s="1753" t="s">
        <v>2200</v>
      </c>
      <c r="D304" s="1753" t="s">
        <v>2201</v>
      </c>
      <c r="E304" s="1753" t="s">
        <v>2202</v>
      </c>
      <c r="F304" s="1753" t="s">
        <v>2203</v>
      </c>
      <c r="G304" s="1753" t="s">
        <v>2204</v>
      </c>
      <c r="H304" s="1753" t="s">
        <v>17</v>
      </c>
      <c r="I304" s="1753" t="s">
        <v>2209</v>
      </c>
      <c r="J304" t="s">
        <v>17</v>
      </c>
      <c r="K304" t="s">
        <v>3174</v>
      </c>
      <c r="L304" t="s">
        <v>3175</v>
      </c>
      <c r="M304" t="s">
        <v>3176</v>
      </c>
      <c r="N304" t="s">
        <v>395</v>
      </c>
    </row>
    <row r="305" spans="1:14" ht="11.25" customHeight="1">
      <c r="A305" s="1753" t="s">
        <v>2199</v>
      </c>
      <c r="B305" s="1753" t="s">
        <v>14</v>
      </c>
      <c r="C305" s="1753" t="s">
        <v>2220</v>
      </c>
      <c r="D305" s="1753" t="s">
        <v>2221</v>
      </c>
      <c r="E305" s="1753" t="s">
        <v>2222</v>
      </c>
      <c r="F305" s="1753" t="s">
        <v>2223</v>
      </c>
      <c r="G305" s="1753" t="s">
        <v>17</v>
      </c>
      <c r="H305" s="1753" t="s">
        <v>17</v>
      </c>
      <c r="I305" s="1753" t="s">
        <v>2214</v>
      </c>
      <c r="J305" t="s">
        <v>17</v>
      </c>
      <c r="K305" t="s">
        <v>3174</v>
      </c>
      <c r="L305" t="s">
        <v>3175</v>
      </c>
      <c r="M305" t="s">
        <v>3176</v>
      </c>
      <c r="N305" t="s">
        <v>395</v>
      </c>
    </row>
    <row r="306" spans="1:14" ht="11.25" customHeight="1">
      <c r="A306" s="1753" t="s">
        <v>2199</v>
      </c>
      <c r="B306" s="1753" t="s">
        <v>14</v>
      </c>
      <c r="C306" s="1753" t="s">
        <v>2224</v>
      </c>
      <c r="D306" s="1753" t="s">
        <v>2225</v>
      </c>
      <c r="E306" s="1753" t="s">
        <v>2226</v>
      </c>
      <c r="F306" s="1753" t="s">
        <v>2227</v>
      </c>
      <c r="G306" s="1753" t="s">
        <v>17</v>
      </c>
      <c r="H306" s="1753" t="s">
        <v>17</v>
      </c>
      <c r="I306" s="1753" t="s">
        <v>3177</v>
      </c>
      <c r="J306" t="s">
        <v>17</v>
      </c>
      <c r="K306" t="s">
        <v>3174</v>
      </c>
      <c r="L306" t="s">
        <v>3175</v>
      </c>
      <c r="M306" t="s">
        <v>3176</v>
      </c>
      <c r="N306" t="s">
        <v>395</v>
      </c>
    </row>
    <row r="307" spans="1:14" ht="11.25" customHeight="1">
      <c r="A307" s="1753" t="s">
        <v>2199</v>
      </c>
      <c r="B307" s="1753" t="s">
        <v>14</v>
      </c>
      <c r="C307" s="1753" t="s">
        <v>2236</v>
      </c>
      <c r="D307" s="1753" t="s">
        <v>2237</v>
      </c>
      <c r="E307" s="1753" t="s">
        <v>2238</v>
      </c>
      <c r="F307" s="1753" t="s">
        <v>2227</v>
      </c>
      <c r="G307" s="1753" t="s">
        <v>17</v>
      </c>
      <c r="H307" s="1753" t="s">
        <v>17</v>
      </c>
      <c r="I307" s="1753" t="s">
        <v>2239</v>
      </c>
      <c r="J307" t="s">
        <v>17</v>
      </c>
      <c r="K307" t="s">
        <v>3174</v>
      </c>
      <c r="L307" t="s">
        <v>3175</v>
      </c>
      <c r="M307" t="s">
        <v>3176</v>
      </c>
      <c r="N307" t="s">
        <v>395</v>
      </c>
    </row>
    <row r="308" spans="1:14" ht="11.25" customHeight="1">
      <c r="A308" s="1753" t="s">
        <v>2199</v>
      </c>
      <c r="B308" s="1753" t="s">
        <v>14</v>
      </c>
      <c r="C308" s="1753" t="s">
        <v>2242</v>
      </c>
      <c r="D308" s="1753" t="s">
        <v>2243</v>
      </c>
      <c r="E308" s="1753" t="s">
        <v>2244</v>
      </c>
      <c r="F308" s="1753" t="s">
        <v>2245</v>
      </c>
      <c r="G308" s="1753" t="s">
        <v>17</v>
      </c>
      <c r="H308" s="1753" t="s">
        <v>17</v>
      </c>
      <c r="I308" s="1753" t="s">
        <v>2246</v>
      </c>
      <c r="J308" t="s">
        <v>17</v>
      </c>
      <c r="K308" t="s">
        <v>3174</v>
      </c>
      <c r="L308" t="s">
        <v>3175</v>
      </c>
      <c r="M308" t="s">
        <v>3176</v>
      </c>
      <c r="N308" t="s">
        <v>395</v>
      </c>
    </row>
    <row r="309" spans="1:14" ht="11.25" customHeight="1">
      <c r="A309" s="1753" t="s">
        <v>2199</v>
      </c>
      <c r="B309" s="1753" t="s">
        <v>14</v>
      </c>
      <c r="C309" s="1753" t="s">
        <v>2261</v>
      </c>
      <c r="D309" s="1753" t="s">
        <v>2262</v>
      </c>
      <c r="E309" s="1753" t="s">
        <v>2263</v>
      </c>
      <c r="F309" s="1753" t="s">
        <v>2264</v>
      </c>
      <c r="G309" s="1753" t="s">
        <v>17</v>
      </c>
      <c r="H309" s="1753" t="s">
        <v>17</v>
      </c>
      <c r="I309" s="1753" t="s">
        <v>2214</v>
      </c>
      <c r="J309" t="s">
        <v>17</v>
      </c>
      <c r="K309" t="s">
        <v>3174</v>
      </c>
      <c r="L309" t="s">
        <v>3175</v>
      </c>
      <c r="M309" t="s">
        <v>3176</v>
      </c>
      <c r="N309" t="s">
        <v>395</v>
      </c>
    </row>
    <row r="310" spans="1:14" ht="11.25" customHeight="1">
      <c r="A310" s="1753" t="s">
        <v>2199</v>
      </c>
      <c r="B310" s="1753" t="s">
        <v>14</v>
      </c>
      <c r="C310" s="1753" t="s">
        <v>2265</v>
      </c>
      <c r="D310" s="1753" t="s">
        <v>2266</v>
      </c>
      <c r="E310" s="1753" t="s">
        <v>2267</v>
      </c>
      <c r="F310" s="1753" t="s">
        <v>2268</v>
      </c>
      <c r="G310" s="1753" t="s">
        <v>17</v>
      </c>
      <c r="H310" s="1753" t="s">
        <v>17</v>
      </c>
      <c r="I310" s="1753" t="s">
        <v>2269</v>
      </c>
      <c r="J310" t="s">
        <v>17</v>
      </c>
      <c r="K310" t="s">
        <v>3174</v>
      </c>
      <c r="L310" t="s">
        <v>3175</v>
      </c>
      <c r="M310" t="s">
        <v>3176</v>
      </c>
      <c r="N310" t="s">
        <v>395</v>
      </c>
    </row>
    <row r="311" spans="1:14" ht="11.25" customHeight="1">
      <c r="A311" s="1753" t="s">
        <v>2199</v>
      </c>
      <c r="B311" s="1753" t="s">
        <v>14</v>
      </c>
      <c r="C311" s="1753" t="s">
        <v>2291</v>
      </c>
      <c r="D311" s="1753" t="s">
        <v>2292</v>
      </c>
      <c r="E311" s="1753" t="s">
        <v>2293</v>
      </c>
      <c r="F311" s="1753" t="s">
        <v>2264</v>
      </c>
      <c r="G311" s="1753" t="s">
        <v>17</v>
      </c>
      <c r="H311" s="1753" t="s">
        <v>17</v>
      </c>
      <c r="I311" s="1753" t="s">
        <v>2214</v>
      </c>
      <c r="J311" t="s">
        <v>17</v>
      </c>
      <c r="K311" t="s">
        <v>3174</v>
      </c>
      <c r="L311" t="s">
        <v>3175</v>
      </c>
      <c r="M311" t="s">
        <v>3176</v>
      </c>
      <c r="N311" t="s">
        <v>395</v>
      </c>
    </row>
    <row r="312" spans="1:14" ht="11.25" customHeight="1">
      <c r="A312" s="1753" t="s">
        <v>2199</v>
      </c>
      <c r="B312" s="1753" t="s">
        <v>14</v>
      </c>
      <c r="C312" s="1753" t="s">
        <v>2298</v>
      </c>
      <c r="D312" s="1753" t="s">
        <v>2299</v>
      </c>
      <c r="E312" s="1753" t="s">
        <v>2300</v>
      </c>
      <c r="F312" s="1753" t="s">
        <v>2301</v>
      </c>
      <c r="G312" s="1753" t="s">
        <v>17</v>
      </c>
      <c r="H312" s="1753" t="s">
        <v>17</v>
      </c>
      <c r="I312" s="1753" t="s">
        <v>2302</v>
      </c>
      <c r="J312" t="s">
        <v>17</v>
      </c>
      <c r="K312" t="s">
        <v>3174</v>
      </c>
      <c r="L312" t="s">
        <v>3175</v>
      </c>
      <c r="M312" t="s">
        <v>3176</v>
      </c>
      <c r="N312" t="s">
        <v>395</v>
      </c>
    </row>
    <row r="313" spans="1:14" ht="11.25" customHeight="1">
      <c r="A313" s="1753" t="s">
        <v>2199</v>
      </c>
      <c r="B313" s="1753" t="s">
        <v>14</v>
      </c>
      <c r="C313" s="1753" t="s">
        <v>2316</v>
      </c>
      <c r="D313" s="1753" t="s">
        <v>2317</v>
      </c>
      <c r="E313" s="1753" t="s">
        <v>2318</v>
      </c>
      <c r="F313" s="1753" t="s">
        <v>2319</v>
      </c>
      <c r="G313" s="1753" t="s">
        <v>17</v>
      </c>
      <c r="H313" s="1753" t="s">
        <v>17</v>
      </c>
      <c r="I313" s="1753" t="s">
        <v>2246</v>
      </c>
      <c r="J313" t="s">
        <v>17</v>
      </c>
      <c r="K313" t="s">
        <v>3174</v>
      </c>
      <c r="L313" t="s">
        <v>3175</v>
      </c>
      <c r="M313" t="s">
        <v>3176</v>
      </c>
      <c r="N313" t="s">
        <v>395</v>
      </c>
    </row>
    <row r="314" spans="1:14" ht="11.25" customHeight="1">
      <c r="A314" s="1753" t="s">
        <v>2199</v>
      </c>
      <c r="B314" s="1753" t="s">
        <v>14</v>
      </c>
      <c r="C314" s="1753" t="s">
        <v>2322</v>
      </c>
      <c r="D314" s="1753" t="s">
        <v>2323</v>
      </c>
      <c r="E314" s="1753" t="s">
        <v>2318</v>
      </c>
      <c r="F314" s="1753" t="s">
        <v>2324</v>
      </c>
      <c r="G314" s="1753" t="s">
        <v>17</v>
      </c>
      <c r="H314" s="1753" t="s">
        <v>17</v>
      </c>
      <c r="I314" s="1753" t="s">
        <v>2246</v>
      </c>
      <c r="J314" t="s">
        <v>17</v>
      </c>
      <c r="K314" t="s">
        <v>3174</v>
      </c>
      <c r="L314" t="s">
        <v>3175</v>
      </c>
      <c r="M314" t="s">
        <v>3176</v>
      </c>
      <c r="N314" t="s">
        <v>395</v>
      </c>
    </row>
    <row r="315" spans="1:14" ht="11.25" customHeight="1">
      <c r="A315" s="1753" t="s">
        <v>2199</v>
      </c>
      <c r="B315" s="1753" t="s">
        <v>14</v>
      </c>
      <c r="C315" s="1753" t="s">
        <v>2331</v>
      </c>
      <c r="D315" s="1753" t="s">
        <v>2332</v>
      </c>
      <c r="E315" s="1753" t="s">
        <v>2318</v>
      </c>
      <c r="F315" s="1753" t="s">
        <v>2333</v>
      </c>
      <c r="G315" s="1753" t="s">
        <v>17</v>
      </c>
      <c r="H315" s="1753" t="s">
        <v>17</v>
      </c>
      <c r="I315" s="1753" t="s">
        <v>2330</v>
      </c>
      <c r="J315" t="s">
        <v>17</v>
      </c>
      <c r="K315" t="s">
        <v>3174</v>
      </c>
      <c r="L315" t="s">
        <v>3175</v>
      </c>
      <c r="M315" t="s">
        <v>3176</v>
      </c>
      <c r="N315" t="s">
        <v>395</v>
      </c>
    </row>
    <row r="316" spans="1:14" ht="11.25" customHeight="1">
      <c r="A316" s="1753" t="s">
        <v>2199</v>
      </c>
      <c r="B316" s="1753" t="s">
        <v>14</v>
      </c>
      <c r="C316" s="1753" t="s">
        <v>2334</v>
      </c>
      <c r="D316" s="1753" t="s">
        <v>2335</v>
      </c>
      <c r="E316" s="1753" t="s">
        <v>2318</v>
      </c>
      <c r="F316" s="1753" t="s">
        <v>2336</v>
      </c>
      <c r="G316" s="1753" t="s">
        <v>17</v>
      </c>
      <c r="H316" s="1753" t="s">
        <v>17</v>
      </c>
      <c r="I316" s="1753" t="s">
        <v>2337</v>
      </c>
      <c r="J316" t="s">
        <v>17</v>
      </c>
      <c r="K316" t="s">
        <v>3174</v>
      </c>
      <c r="L316" t="s">
        <v>3175</v>
      </c>
      <c r="M316" t="s">
        <v>3176</v>
      </c>
      <c r="N316" t="s">
        <v>395</v>
      </c>
    </row>
    <row r="317" spans="1:14" ht="11.25" customHeight="1">
      <c r="A317" s="1753" t="s">
        <v>2199</v>
      </c>
      <c r="B317" s="1753" t="s">
        <v>14</v>
      </c>
      <c r="C317" s="1753" t="s">
        <v>2338</v>
      </c>
      <c r="D317" s="1753" t="s">
        <v>2339</v>
      </c>
      <c r="E317" s="1753" t="s">
        <v>2318</v>
      </c>
      <c r="F317" s="1753" t="s">
        <v>2340</v>
      </c>
      <c r="G317" s="1753" t="s">
        <v>17</v>
      </c>
      <c r="H317" s="1753" t="s">
        <v>17</v>
      </c>
      <c r="I317" s="1753" t="s">
        <v>2330</v>
      </c>
      <c r="J317" t="s">
        <v>17</v>
      </c>
      <c r="K317" t="s">
        <v>3174</v>
      </c>
      <c r="L317" t="s">
        <v>3175</v>
      </c>
      <c r="M317" t="s">
        <v>3176</v>
      </c>
      <c r="N317" t="s">
        <v>395</v>
      </c>
    </row>
    <row r="318" spans="1:14" ht="11.25" customHeight="1">
      <c r="A318" s="1753" t="s">
        <v>2199</v>
      </c>
      <c r="B318" s="1753" t="s">
        <v>14</v>
      </c>
      <c r="C318" s="1753" t="s">
        <v>2341</v>
      </c>
      <c r="D318" s="1753" t="s">
        <v>2342</v>
      </c>
      <c r="E318" s="1753" t="s">
        <v>2318</v>
      </c>
      <c r="F318" s="1753" t="s">
        <v>2343</v>
      </c>
      <c r="G318" s="1753" t="s">
        <v>17</v>
      </c>
      <c r="H318" s="1753" t="s">
        <v>17</v>
      </c>
      <c r="I318" s="1753" t="s">
        <v>2344</v>
      </c>
      <c r="J318" t="s">
        <v>17</v>
      </c>
      <c r="K318" t="s">
        <v>3174</v>
      </c>
      <c r="L318" t="s">
        <v>3175</v>
      </c>
      <c r="M318" t="s">
        <v>3176</v>
      </c>
      <c r="N318" t="s">
        <v>395</v>
      </c>
    </row>
    <row r="319" spans="1:14" ht="11.25" customHeight="1">
      <c r="A319" s="1753" t="s">
        <v>2199</v>
      </c>
      <c r="B319" s="1753" t="s">
        <v>14</v>
      </c>
      <c r="C319" s="1753" t="s">
        <v>2359</v>
      </c>
      <c r="D319" s="1753" t="s">
        <v>2360</v>
      </c>
      <c r="E319" s="1753" t="s">
        <v>2361</v>
      </c>
      <c r="F319" s="1753" t="s">
        <v>2351</v>
      </c>
      <c r="G319" s="1753" t="s">
        <v>17</v>
      </c>
      <c r="H319" s="1753" t="s">
        <v>17</v>
      </c>
      <c r="I319" s="1753" t="s">
        <v>3133</v>
      </c>
      <c r="J319" t="s">
        <v>17</v>
      </c>
      <c r="K319" t="s">
        <v>3174</v>
      </c>
      <c r="L319" t="s">
        <v>3175</v>
      </c>
      <c r="M319" t="s">
        <v>3176</v>
      </c>
      <c r="N319" t="s">
        <v>395</v>
      </c>
    </row>
    <row r="320" spans="1:14" ht="11.25" customHeight="1">
      <c r="A320" s="1753" t="s">
        <v>2199</v>
      </c>
      <c r="B320" s="1753" t="s">
        <v>14</v>
      </c>
      <c r="C320" s="1753" t="s">
        <v>2362</v>
      </c>
      <c r="D320" s="1753" t="s">
        <v>2363</v>
      </c>
      <c r="E320" s="1753" t="s">
        <v>2364</v>
      </c>
      <c r="F320" s="1753" t="s">
        <v>2213</v>
      </c>
      <c r="G320" s="1753" t="s">
        <v>17</v>
      </c>
      <c r="H320" s="1753" t="s">
        <v>17</v>
      </c>
      <c r="I320" s="1753" t="s">
        <v>2214</v>
      </c>
      <c r="J320" t="s">
        <v>17</v>
      </c>
      <c r="K320" t="s">
        <v>3174</v>
      </c>
      <c r="L320" t="s">
        <v>3175</v>
      </c>
      <c r="M320" t="s">
        <v>3176</v>
      </c>
      <c r="N320" t="s">
        <v>395</v>
      </c>
    </row>
    <row r="321" spans="1:14" ht="11.25" customHeight="1">
      <c r="A321" s="1753" t="s">
        <v>2199</v>
      </c>
      <c r="B321" s="1753" t="s">
        <v>14</v>
      </c>
      <c r="C321" s="1753" t="s">
        <v>2362</v>
      </c>
      <c r="D321" s="1753" t="s">
        <v>2363</v>
      </c>
      <c r="E321" s="1753" t="s">
        <v>2364</v>
      </c>
      <c r="F321" s="1753" t="s">
        <v>2213</v>
      </c>
      <c r="G321" s="1753" t="s">
        <v>17</v>
      </c>
      <c r="H321" s="1753" t="s">
        <v>17</v>
      </c>
      <c r="I321" s="1753" t="s">
        <v>2366</v>
      </c>
      <c r="J321" t="s">
        <v>17</v>
      </c>
      <c r="K321" t="s">
        <v>3174</v>
      </c>
      <c r="L321" t="s">
        <v>3175</v>
      </c>
      <c r="M321" t="s">
        <v>3176</v>
      </c>
      <c r="N321" t="s">
        <v>395</v>
      </c>
    </row>
    <row r="322" spans="1:14" ht="11.25" customHeight="1">
      <c r="A322" s="1753" t="s">
        <v>2199</v>
      </c>
      <c r="B322" s="1753" t="s">
        <v>14</v>
      </c>
      <c r="C322" s="1753" t="s">
        <v>2373</v>
      </c>
      <c r="D322" s="1753" t="s">
        <v>2374</v>
      </c>
      <c r="E322" s="1753" t="s">
        <v>2375</v>
      </c>
      <c r="F322" s="1753" t="s">
        <v>50</v>
      </c>
      <c r="G322" s="1753" t="s">
        <v>2376</v>
      </c>
      <c r="H322" s="1753" t="s">
        <v>17</v>
      </c>
      <c r="I322" s="1753" t="s">
        <v>3178</v>
      </c>
      <c r="J322" t="s">
        <v>17</v>
      </c>
      <c r="K322" t="s">
        <v>3179</v>
      </c>
      <c r="L322" t="s">
        <v>1069</v>
      </c>
      <c r="M322" t="s">
        <v>3180</v>
      </c>
      <c r="N322" t="s">
        <v>395</v>
      </c>
    </row>
    <row r="323" spans="1:14" ht="11.25" customHeight="1">
      <c r="A323" s="1753" t="s">
        <v>2199</v>
      </c>
      <c r="B323" s="1753" t="s">
        <v>14</v>
      </c>
      <c r="C323" s="1753" t="s">
        <v>2381</v>
      </c>
      <c r="D323" s="1753" t="s">
        <v>2382</v>
      </c>
      <c r="E323" s="1753" t="s">
        <v>2383</v>
      </c>
      <c r="F323" s="1753" t="s">
        <v>2223</v>
      </c>
      <c r="G323" s="1753" t="s">
        <v>2384</v>
      </c>
      <c r="H323" s="1753" t="s">
        <v>17</v>
      </c>
      <c r="I323" s="1753" t="s">
        <v>2492</v>
      </c>
      <c r="J323" t="s">
        <v>17</v>
      </c>
      <c r="K323" t="s">
        <v>3174</v>
      </c>
      <c r="L323" t="s">
        <v>3175</v>
      </c>
      <c r="M323" t="s">
        <v>3176</v>
      </c>
      <c r="N323" t="s">
        <v>395</v>
      </c>
    </row>
    <row r="324" spans="1:14" ht="11.25" customHeight="1">
      <c r="A324" s="1753" t="s">
        <v>2199</v>
      </c>
      <c r="B324" s="1753" t="s">
        <v>14</v>
      </c>
      <c r="C324" s="1753" t="s">
        <v>2401</v>
      </c>
      <c r="D324" s="1753" t="s">
        <v>2402</v>
      </c>
      <c r="E324" s="1753" t="s">
        <v>2403</v>
      </c>
      <c r="F324" s="1753" t="s">
        <v>2404</v>
      </c>
      <c r="G324" s="1753" t="s">
        <v>17</v>
      </c>
      <c r="H324" s="1753" t="s">
        <v>17</v>
      </c>
      <c r="I324" s="1753" t="s">
        <v>2452</v>
      </c>
      <c r="J324" t="s">
        <v>17</v>
      </c>
      <c r="K324" t="s">
        <v>3174</v>
      </c>
      <c r="L324" t="s">
        <v>3175</v>
      </c>
      <c r="M324" t="s">
        <v>3176</v>
      </c>
      <c r="N324" t="s">
        <v>395</v>
      </c>
    </row>
    <row r="325" spans="1:14" ht="11.25" customHeight="1">
      <c r="A325" s="1753" t="s">
        <v>2199</v>
      </c>
      <c r="B325" s="1753" t="s">
        <v>14</v>
      </c>
      <c r="C325" s="1753" t="s">
        <v>2421</v>
      </c>
      <c r="D325" s="1753" t="s">
        <v>2422</v>
      </c>
      <c r="E325" s="1753" t="s">
        <v>2423</v>
      </c>
      <c r="F325" s="1753" t="s">
        <v>2424</v>
      </c>
      <c r="G325" s="1753" t="s">
        <v>17</v>
      </c>
      <c r="H325" s="1753" t="s">
        <v>17</v>
      </c>
      <c r="I325" s="1753" t="s">
        <v>2330</v>
      </c>
      <c r="J325" t="s">
        <v>17</v>
      </c>
      <c r="K325" t="s">
        <v>3174</v>
      </c>
      <c r="L325" t="s">
        <v>3181</v>
      </c>
      <c r="M325" t="s">
        <v>3182</v>
      </c>
      <c r="N325" t="s">
        <v>395</v>
      </c>
    </row>
    <row r="326" spans="1:14" ht="11.25" customHeight="1">
      <c r="A326" s="1753" t="s">
        <v>2199</v>
      </c>
      <c r="B326" s="1753" t="s">
        <v>14</v>
      </c>
      <c r="C326" s="1753" t="s">
        <v>2421</v>
      </c>
      <c r="D326" s="1753" t="s">
        <v>2422</v>
      </c>
      <c r="E326" s="1753" t="s">
        <v>2423</v>
      </c>
      <c r="F326" s="1753" t="s">
        <v>2424</v>
      </c>
      <c r="G326" s="1753" t="s">
        <v>17</v>
      </c>
      <c r="H326" s="1753" t="s">
        <v>17</v>
      </c>
      <c r="I326" s="1753" t="s">
        <v>2330</v>
      </c>
      <c r="J326" t="s">
        <v>17</v>
      </c>
      <c r="K326" t="s">
        <v>3179</v>
      </c>
      <c r="L326" t="s">
        <v>3183</v>
      </c>
      <c r="M326" t="s">
        <v>3184</v>
      </c>
      <c r="N326" t="s">
        <v>395</v>
      </c>
    </row>
    <row r="327" spans="1:14" ht="11.25" customHeight="1">
      <c r="A327" s="1753" t="s">
        <v>2199</v>
      </c>
      <c r="B327" s="1753" t="s">
        <v>14</v>
      </c>
      <c r="C327" s="1753" t="s">
        <v>2433</v>
      </c>
      <c r="D327" s="1753" t="s">
        <v>2434</v>
      </c>
      <c r="E327" s="1753" t="s">
        <v>2435</v>
      </c>
      <c r="F327" s="1753" t="s">
        <v>50</v>
      </c>
      <c r="G327" s="1753" t="s">
        <v>17</v>
      </c>
      <c r="H327" s="1753" t="s">
        <v>17</v>
      </c>
      <c r="I327" s="1753" t="s">
        <v>2437</v>
      </c>
      <c r="J327" t="s">
        <v>17</v>
      </c>
      <c r="K327" t="s">
        <v>3174</v>
      </c>
      <c r="L327" t="s">
        <v>3185</v>
      </c>
      <c r="M327" t="s">
        <v>3186</v>
      </c>
      <c r="N327" t="s">
        <v>395</v>
      </c>
    </row>
    <row r="328" spans="1:14" ht="11.25" customHeight="1">
      <c r="A328" s="1753" t="s">
        <v>2199</v>
      </c>
      <c r="B328" s="1753" t="s">
        <v>14</v>
      </c>
      <c r="C328" s="1753" t="s">
        <v>2448</v>
      </c>
      <c r="D328" s="1753" t="s">
        <v>2449</v>
      </c>
      <c r="E328" s="1753" t="s">
        <v>2450</v>
      </c>
      <c r="F328" s="1753" t="s">
        <v>2451</v>
      </c>
      <c r="G328" s="1753" t="s">
        <v>17</v>
      </c>
      <c r="H328" s="1753" t="s">
        <v>17</v>
      </c>
      <c r="I328" s="1753" t="s">
        <v>2453</v>
      </c>
      <c r="J328" t="s">
        <v>17</v>
      </c>
      <c r="K328" t="s">
        <v>3174</v>
      </c>
      <c r="L328" t="s">
        <v>3175</v>
      </c>
      <c r="M328" t="s">
        <v>3176</v>
      </c>
      <c r="N328" t="s">
        <v>395</v>
      </c>
    </row>
    <row r="329" spans="1:14" ht="11.25" customHeight="1">
      <c r="A329" s="1753" t="s">
        <v>2199</v>
      </c>
      <c r="B329" s="1753" t="s">
        <v>14</v>
      </c>
      <c r="C329" s="1753" t="s">
        <v>2448</v>
      </c>
      <c r="D329" s="1753" t="s">
        <v>2449</v>
      </c>
      <c r="E329" s="1753" t="s">
        <v>2450</v>
      </c>
      <c r="F329" s="1753" t="s">
        <v>2451</v>
      </c>
      <c r="G329" s="1753" t="s">
        <v>17</v>
      </c>
      <c r="H329" s="1753" t="s">
        <v>17</v>
      </c>
      <c r="I329" s="1753" t="s">
        <v>2827</v>
      </c>
      <c r="J329" t="s">
        <v>17</v>
      </c>
      <c r="K329" t="s">
        <v>3174</v>
      </c>
      <c r="L329" t="s">
        <v>3175</v>
      </c>
      <c r="M329" t="s">
        <v>3176</v>
      </c>
      <c r="N329" t="s">
        <v>395</v>
      </c>
    </row>
    <row r="330" spans="1:14" ht="11.25" customHeight="1">
      <c r="A330" s="1753" t="s">
        <v>2199</v>
      </c>
      <c r="B330" s="1753" t="s">
        <v>14</v>
      </c>
      <c r="C330" s="1753" t="s">
        <v>2448</v>
      </c>
      <c r="D330" s="1753" t="s">
        <v>2449</v>
      </c>
      <c r="E330" s="1753" t="s">
        <v>2450</v>
      </c>
      <c r="F330" s="1753" t="s">
        <v>2451</v>
      </c>
      <c r="G330" s="1753" t="s">
        <v>17</v>
      </c>
      <c r="H330" s="1753" t="s">
        <v>17</v>
      </c>
      <c r="I330" s="1753" t="s">
        <v>2330</v>
      </c>
      <c r="J330" t="s">
        <v>17</v>
      </c>
      <c r="K330" t="s">
        <v>3174</v>
      </c>
      <c r="L330" t="s">
        <v>3175</v>
      </c>
      <c r="M330" t="s">
        <v>3176</v>
      </c>
      <c r="N330" t="s">
        <v>395</v>
      </c>
    </row>
    <row r="331" spans="1:14" ht="11.25" customHeight="1">
      <c r="A331" s="1753" t="s">
        <v>2199</v>
      </c>
      <c r="B331" s="1753" t="s">
        <v>14</v>
      </c>
      <c r="C331" s="1753" t="s">
        <v>2519</v>
      </c>
      <c r="D331" s="1753" t="s">
        <v>2520</v>
      </c>
      <c r="E331" s="1753" t="s">
        <v>2521</v>
      </c>
      <c r="F331" s="1753" t="s">
        <v>2522</v>
      </c>
      <c r="G331" s="1753" t="s">
        <v>17</v>
      </c>
      <c r="H331" s="1753" t="s">
        <v>17</v>
      </c>
      <c r="I331" s="1753" t="s">
        <v>2246</v>
      </c>
      <c r="J331" t="s">
        <v>17</v>
      </c>
      <c r="K331" t="s">
        <v>3174</v>
      </c>
      <c r="L331" t="s">
        <v>3175</v>
      </c>
      <c r="M331" t="s">
        <v>3176</v>
      </c>
      <c r="N331" t="s">
        <v>395</v>
      </c>
    </row>
    <row r="332" spans="1:14" ht="11.25" customHeight="1">
      <c r="A332" s="1753" t="s">
        <v>2199</v>
      </c>
      <c r="B332" s="1753" t="s">
        <v>14</v>
      </c>
      <c r="C332" s="1753" t="s">
        <v>2523</v>
      </c>
      <c r="D332" s="1753" t="s">
        <v>2524</v>
      </c>
      <c r="E332" s="1753" t="s">
        <v>2525</v>
      </c>
      <c r="F332" s="1753" t="s">
        <v>2268</v>
      </c>
      <c r="G332" s="1753" t="s">
        <v>17</v>
      </c>
      <c r="H332" s="1753" t="s">
        <v>17</v>
      </c>
      <c r="I332" s="1753" t="s">
        <v>2452</v>
      </c>
      <c r="J332" t="s">
        <v>17</v>
      </c>
      <c r="K332" t="s">
        <v>3174</v>
      </c>
      <c r="L332" t="s">
        <v>3175</v>
      </c>
      <c r="M332" t="s">
        <v>3176</v>
      </c>
      <c r="N332" t="s">
        <v>395</v>
      </c>
    </row>
    <row r="333" spans="1:14" ht="11.25" customHeight="1">
      <c r="A333" s="1753" t="s">
        <v>2199</v>
      </c>
      <c r="B333" s="1753" t="s">
        <v>14</v>
      </c>
      <c r="C333" s="1753" t="s">
        <v>2529</v>
      </c>
      <c r="D333" s="1753" t="s">
        <v>2530</v>
      </c>
      <c r="E333" s="1753" t="s">
        <v>2531</v>
      </c>
      <c r="F333" s="1753" t="s">
        <v>2522</v>
      </c>
      <c r="G333" s="1753" t="s">
        <v>17</v>
      </c>
      <c r="H333" s="1753" t="s">
        <v>17</v>
      </c>
      <c r="I333" s="1753" t="s">
        <v>2246</v>
      </c>
      <c r="J333" t="s">
        <v>17</v>
      </c>
      <c r="K333" t="s">
        <v>3174</v>
      </c>
      <c r="L333" t="s">
        <v>3175</v>
      </c>
      <c r="M333" t="s">
        <v>3176</v>
      </c>
      <c r="N333" t="s">
        <v>395</v>
      </c>
    </row>
    <row r="334" spans="1:14" ht="11.25" customHeight="1">
      <c r="A334" s="1753" t="s">
        <v>2199</v>
      </c>
      <c r="B334" s="1753" t="s">
        <v>14</v>
      </c>
      <c r="C334" s="1753" t="s">
        <v>2536</v>
      </c>
      <c r="D334" s="1753" t="s">
        <v>2537</v>
      </c>
      <c r="E334" s="1753" t="s">
        <v>2538</v>
      </c>
      <c r="F334" s="1753" t="s">
        <v>2539</v>
      </c>
      <c r="G334" s="1753" t="s">
        <v>2540</v>
      </c>
      <c r="H334" s="1753" t="s">
        <v>17</v>
      </c>
      <c r="I334" s="1753" t="s">
        <v>2541</v>
      </c>
      <c r="J334" t="s">
        <v>17</v>
      </c>
      <c r="K334" t="s">
        <v>3174</v>
      </c>
      <c r="L334" t="s">
        <v>3175</v>
      </c>
      <c r="M334" t="s">
        <v>3176</v>
      </c>
      <c r="N334" t="s">
        <v>395</v>
      </c>
    </row>
    <row r="335" spans="1:14" ht="11.25" customHeight="1">
      <c r="A335" s="1753" t="s">
        <v>2199</v>
      </c>
      <c r="B335" s="1753" t="s">
        <v>14</v>
      </c>
      <c r="C335" s="1753" t="s">
        <v>2542</v>
      </c>
      <c r="D335" s="1753" t="s">
        <v>2543</v>
      </c>
      <c r="E335" s="1753" t="s">
        <v>2544</v>
      </c>
      <c r="F335" s="1753" t="s">
        <v>2245</v>
      </c>
      <c r="G335" s="1753" t="s">
        <v>17</v>
      </c>
      <c r="H335" s="1753" t="s">
        <v>17</v>
      </c>
      <c r="I335" s="1753" t="s">
        <v>2246</v>
      </c>
      <c r="J335" t="s">
        <v>17</v>
      </c>
      <c r="K335" t="s">
        <v>3174</v>
      </c>
      <c r="L335" t="s">
        <v>3175</v>
      </c>
      <c r="M335" t="s">
        <v>3176</v>
      </c>
      <c r="N335" t="s">
        <v>395</v>
      </c>
    </row>
    <row r="336" spans="1:14" ht="11.25" customHeight="1">
      <c r="A336" s="1753" t="s">
        <v>2199</v>
      </c>
      <c r="B336" s="1753" t="s">
        <v>14</v>
      </c>
      <c r="C336" s="1753" t="s">
        <v>2564</v>
      </c>
      <c r="D336" s="1753" t="s">
        <v>2565</v>
      </c>
      <c r="E336" s="1753" t="s">
        <v>2566</v>
      </c>
      <c r="F336" s="1753" t="s">
        <v>2259</v>
      </c>
      <c r="G336" s="1753" t="s">
        <v>17</v>
      </c>
      <c r="H336" s="1753" t="s">
        <v>17</v>
      </c>
      <c r="I336" s="1753" t="s">
        <v>2567</v>
      </c>
      <c r="J336" t="s">
        <v>17</v>
      </c>
      <c r="K336" t="s">
        <v>3179</v>
      </c>
      <c r="L336" t="s">
        <v>3187</v>
      </c>
      <c r="M336" t="s">
        <v>3188</v>
      </c>
      <c r="N336" t="s">
        <v>395</v>
      </c>
    </row>
    <row r="337" spans="1:14" ht="11.25" customHeight="1">
      <c r="A337" s="1753" t="s">
        <v>2199</v>
      </c>
      <c r="B337" s="1753" t="s">
        <v>14</v>
      </c>
      <c r="C337" s="1753" t="s">
        <v>2574</v>
      </c>
      <c r="D337" s="1753" t="s">
        <v>2575</v>
      </c>
      <c r="E337" s="1753" t="s">
        <v>2576</v>
      </c>
      <c r="F337" s="1753" t="s">
        <v>2539</v>
      </c>
      <c r="G337" s="1753" t="s">
        <v>17</v>
      </c>
      <c r="H337" s="1753" t="s">
        <v>17</v>
      </c>
      <c r="I337" s="1753" t="s">
        <v>2330</v>
      </c>
      <c r="J337" t="s">
        <v>17</v>
      </c>
      <c r="K337" t="s">
        <v>3174</v>
      </c>
      <c r="L337" t="s">
        <v>3175</v>
      </c>
      <c r="M337" t="s">
        <v>3176</v>
      </c>
      <c r="N337" t="s">
        <v>395</v>
      </c>
    </row>
    <row r="338" spans="1:14" ht="11.25" customHeight="1">
      <c r="A338" s="1753" t="s">
        <v>2199</v>
      </c>
      <c r="B338" s="1753" t="s">
        <v>14</v>
      </c>
      <c r="C338" s="1753" t="s">
        <v>2586</v>
      </c>
      <c r="D338" s="1753" t="s">
        <v>2587</v>
      </c>
      <c r="E338" s="1753" t="s">
        <v>2588</v>
      </c>
      <c r="F338" s="1753" t="s">
        <v>2589</v>
      </c>
      <c r="G338" s="1753" t="s">
        <v>17</v>
      </c>
      <c r="H338" s="1753" t="s">
        <v>17</v>
      </c>
      <c r="I338" s="1753" t="s">
        <v>2246</v>
      </c>
      <c r="J338" t="s">
        <v>17</v>
      </c>
      <c r="K338" t="s">
        <v>3174</v>
      </c>
      <c r="L338" t="s">
        <v>3175</v>
      </c>
      <c r="M338" t="s">
        <v>3176</v>
      </c>
      <c r="N338" t="s">
        <v>395</v>
      </c>
    </row>
    <row r="339" spans="1:14" ht="11.25" customHeight="1">
      <c r="A339" s="1753" t="s">
        <v>2199</v>
      </c>
      <c r="B339" s="1753" t="s">
        <v>14</v>
      </c>
      <c r="C339" s="1753" t="s">
        <v>2593</v>
      </c>
      <c r="D339" s="1753" t="s">
        <v>2594</v>
      </c>
      <c r="E339" s="1753" t="s">
        <v>2595</v>
      </c>
      <c r="F339" s="1753" t="s">
        <v>2596</v>
      </c>
      <c r="G339" s="1753" t="s">
        <v>17</v>
      </c>
      <c r="H339" s="1753" t="s">
        <v>17</v>
      </c>
      <c r="I339" s="1753" t="s">
        <v>2330</v>
      </c>
      <c r="J339" t="s">
        <v>17</v>
      </c>
      <c r="K339" t="s">
        <v>3174</v>
      </c>
      <c r="L339" t="s">
        <v>3189</v>
      </c>
      <c r="M339" t="s">
        <v>3190</v>
      </c>
      <c r="N339" t="s">
        <v>395</v>
      </c>
    </row>
    <row r="340" spans="1:14" ht="11.25" customHeight="1">
      <c r="A340" s="1753" t="s">
        <v>2199</v>
      </c>
      <c r="B340" s="1753" t="s">
        <v>14</v>
      </c>
      <c r="C340" s="1753" t="s">
        <v>2597</v>
      </c>
      <c r="D340" s="1753" t="s">
        <v>2598</v>
      </c>
      <c r="E340" s="1753" t="s">
        <v>2599</v>
      </c>
      <c r="F340" s="1753" t="s">
        <v>2404</v>
      </c>
      <c r="G340" s="1753" t="s">
        <v>17</v>
      </c>
      <c r="H340" s="1753" t="s">
        <v>17</v>
      </c>
      <c r="I340" s="1753" t="s">
        <v>3191</v>
      </c>
      <c r="J340" t="s">
        <v>17</v>
      </c>
      <c r="K340" t="s">
        <v>3174</v>
      </c>
      <c r="L340" t="s">
        <v>3175</v>
      </c>
      <c r="M340" t="s">
        <v>3176</v>
      </c>
      <c r="N340" t="s">
        <v>395</v>
      </c>
    </row>
    <row r="341" spans="1:14" ht="11.25" customHeight="1">
      <c r="A341" s="1753" t="s">
        <v>2199</v>
      </c>
      <c r="B341" s="1753" t="s">
        <v>14</v>
      </c>
      <c r="C341" s="1753" t="s">
        <v>2610</v>
      </c>
      <c r="D341" s="1753" t="s">
        <v>2611</v>
      </c>
      <c r="E341" s="1753" t="s">
        <v>2612</v>
      </c>
      <c r="F341" s="1753" t="s">
        <v>2589</v>
      </c>
      <c r="G341" s="1753" t="s">
        <v>17</v>
      </c>
      <c r="H341" s="1753" t="s">
        <v>17</v>
      </c>
      <c r="I341" s="1753" t="s">
        <v>2246</v>
      </c>
      <c r="J341" t="s">
        <v>17</v>
      </c>
      <c r="K341" t="s">
        <v>3174</v>
      </c>
      <c r="L341" t="s">
        <v>3175</v>
      </c>
      <c r="M341" t="s">
        <v>3176</v>
      </c>
      <c r="N341" t="s">
        <v>395</v>
      </c>
    </row>
    <row r="342" spans="1:14" ht="11.25" customHeight="1">
      <c r="A342" s="1753" t="s">
        <v>2199</v>
      </c>
      <c r="B342" s="1753" t="s">
        <v>14</v>
      </c>
      <c r="C342" s="1753" t="s">
        <v>2626</v>
      </c>
      <c r="D342" s="1753" t="s">
        <v>2627</v>
      </c>
      <c r="E342" s="1753" t="s">
        <v>2628</v>
      </c>
      <c r="F342" s="1753" t="s">
        <v>2539</v>
      </c>
      <c r="G342" s="1753" t="s">
        <v>17</v>
      </c>
      <c r="H342" s="1753" t="s">
        <v>17</v>
      </c>
      <c r="I342" s="1753" t="s">
        <v>2330</v>
      </c>
      <c r="J342" t="s">
        <v>17</v>
      </c>
      <c r="K342" t="s">
        <v>3174</v>
      </c>
      <c r="L342" t="s">
        <v>3175</v>
      </c>
      <c r="M342" t="s">
        <v>3176</v>
      </c>
      <c r="N342" t="s">
        <v>395</v>
      </c>
    </row>
    <row r="343" spans="1:14" ht="11.25" customHeight="1">
      <c r="A343" s="1753" t="s">
        <v>2199</v>
      </c>
      <c r="B343" s="1753" t="s">
        <v>14</v>
      </c>
      <c r="C343" s="1753" t="s">
        <v>2629</v>
      </c>
      <c r="D343" s="1753" t="s">
        <v>2630</v>
      </c>
      <c r="E343" s="1753" t="s">
        <v>2631</v>
      </c>
      <c r="F343" s="1753" t="s">
        <v>2632</v>
      </c>
      <c r="G343" s="1753" t="s">
        <v>17</v>
      </c>
      <c r="H343" s="1753" t="s">
        <v>17</v>
      </c>
      <c r="I343" s="1753" t="s">
        <v>2330</v>
      </c>
      <c r="J343" t="s">
        <v>17</v>
      </c>
      <c r="K343" t="s">
        <v>3174</v>
      </c>
      <c r="L343" t="s">
        <v>3175</v>
      </c>
      <c r="M343" t="s">
        <v>3176</v>
      </c>
      <c r="N343" t="s">
        <v>395</v>
      </c>
    </row>
    <row r="344" spans="1:14" ht="11.25" customHeight="1">
      <c r="A344" s="1753" t="s">
        <v>2199</v>
      </c>
      <c r="B344" s="1753" t="s">
        <v>14</v>
      </c>
      <c r="C344" s="1753" t="s">
        <v>2633</v>
      </c>
      <c r="D344" s="1753" t="s">
        <v>2634</v>
      </c>
      <c r="E344" s="1753" t="s">
        <v>2635</v>
      </c>
      <c r="F344" s="1753" t="s">
        <v>2255</v>
      </c>
      <c r="G344" s="1753" t="s">
        <v>17</v>
      </c>
      <c r="H344" s="1753" t="s">
        <v>17</v>
      </c>
      <c r="I344" s="1753" t="s">
        <v>2518</v>
      </c>
      <c r="J344" t="s">
        <v>17</v>
      </c>
      <c r="K344" t="s">
        <v>3174</v>
      </c>
      <c r="L344" t="s">
        <v>3175</v>
      </c>
      <c r="M344" t="s">
        <v>3176</v>
      </c>
      <c r="N344" t="s">
        <v>395</v>
      </c>
    </row>
    <row r="345" spans="1:14" ht="11.25" customHeight="1">
      <c r="A345" s="1753" t="s">
        <v>2199</v>
      </c>
      <c r="B345" s="1753" t="s">
        <v>14</v>
      </c>
      <c r="C345" s="1753" t="s">
        <v>2640</v>
      </c>
      <c r="D345" s="1753" t="s">
        <v>2641</v>
      </c>
      <c r="E345" s="1753" t="s">
        <v>2642</v>
      </c>
      <c r="F345" s="1753" t="s">
        <v>2539</v>
      </c>
      <c r="G345" s="1753" t="s">
        <v>17</v>
      </c>
      <c r="H345" s="1753" t="s">
        <v>17</v>
      </c>
      <c r="I345" s="1753" t="s">
        <v>2330</v>
      </c>
      <c r="J345" t="s">
        <v>17</v>
      </c>
      <c r="K345" t="s">
        <v>3174</v>
      </c>
      <c r="L345" t="s">
        <v>3175</v>
      </c>
      <c r="M345" t="s">
        <v>3176</v>
      </c>
      <c r="N345" t="s">
        <v>395</v>
      </c>
    </row>
    <row r="346" spans="1:14" ht="11.25" customHeight="1">
      <c r="A346" s="1753" t="s">
        <v>2199</v>
      </c>
      <c r="B346" s="1753" t="s">
        <v>14</v>
      </c>
      <c r="C346" s="1753" t="s">
        <v>2643</v>
      </c>
      <c r="D346" s="1753" t="s">
        <v>2644</v>
      </c>
      <c r="E346" s="1753" t="s">
        <v>2645</v>
      </c>
      <c r="F346" s="1753" t="s">
        <v>2548</v>
      </c>
      <c r="G346" s="1753" t="s">
        <v>17</v>
      </c>
      <c r="H346" s="1753" t="s">
        <v>17</v>
      </c>
      <c r="I346" s="1753" t="s">
        <v>2330</v>
      </c>
      <c r="J346" t="s">
        <v>17</v>
      </c>
      <c r="K346" t="s">
        <v>3174</v>
      </c>
      <c r="L346" t="s">
        <v>3175</v>
      </c>
      <c r="M346" t="s">
        <v>3176</v>
      </c>
      <c r="N346" t="s">
        <v>395</v>
      </c>
    </row>
    <row r="347" spans="1:14" ht="11.25" customHeight="1">
      <c r="A347" s="1753" t="s">
        <v>2199</v>
      </c>
      <c r="B347" s="1753" t="s">
        <v>14</v>
      </c>
      <c r="C347" s="1753" t="s">
        <v>2650</v>
      </c>
      <c r="D347" s="1753" t="s">
        <v>2651</v>
      </c>
      <c r="E347" s="1753" t="s">
        <v>2652</v>
      </c>
      <c r="F347" s="1753" t="s">
        <v>2653</v>
      </c>
      <c r="G347" s="1753" t="s">
        <v>17</v>
      </c>
      <c r="H347" s="1753" t="s">
        <v>17</v>
      </c>
      <c r="I347" s="1753" t="s">
        <v>2330</v>
      </c>
      <c r="J347" t="s">
        <v>17</v>
      </c>
      <c r="K347" t="s">
        <v>3174</v>
      </c>
      <c r="L347" t="s">
        <v>3175</v>
      </c>
      <c r="M347" t="s">
        <v>3176</v>
      </c>
      <c r="N347" t="s">
        <v>395</v>
      </c>
    </row>
    <row r="348" spans="1:14" ht="11.25" customHeight="1">
      <c r="A348" s="1753" t="s">
        <v>2199</v>
      </c>
      <c r="B348" s="1753" t="s">
        <v>14</v>
      </c>
      <c r="C348" s="1753" t="s">
        <v>2654</v>
      </c>
      <c r="D348" s="1753" t="s">
        <v>2655</v>
      </c>
      <c r="E348" s="1753" t="s">
        <v>2656</v>
      </c>
      <c r="F348" s="1753" t="s">
        <v>2264</v>
      </c>
      <c r="G348" s="1753" t="s">
        <v>17</v>
      </c>
      <c r="H348" s="1753" t="s">
        <v>17</v>
      </c>
      <c r="I348" s="1753" t="s">
        <v>2657</v>
      </c>
      <c r="J348" t="s">
        <v>17</v>
      </c>
      <c r="K348" t="s">
        <v>3174</v>
      </c>
      <c r="L348" t="s">
        <v>3175</v>
      </c>
      <c r="M348" t="s">
        <v>3176</v>
      </c>
      <c r="N348" t="s">
        <v>395</v>
      </c>
    </row>
    <row r="349" spans="1:14" ht="11.25" customHeight="1">
      <c r="A349" s="1753" t="s">
        <v>2199</v>
      </c>
      <c r="B349" s="1753" t="s">
        <v>14</v>
      </c>
      <c r="C349" s="1753" t="s">
        <v>2658</v>
      </c>
      <c r="D349" s="1753" t="s">
        <v>2659</v>
      </c>
      <c r="E349" s="1753" t="s">
        <v>2660</v>
      </c>
      <c r="F349" s="1753" t="s">
        <v>2412</v>
      </c>
      <c r="G349" s="1753" t="s">
        <v>17</v>
      </c>
      <c r="H349" s="1753" t="s">
        <v>17</v>
      </c>
      <c r="I349" s="1753" t="s">
        <v>2661</v>
      </c>
      <c r="J349" t="s">
        <v>17</v>
      </c>
      <c r="K349" t="s">
        <v>3179</v>
      </c>
      <c r="L349" t="s">
        <v>1069</v>
      </c>
      <c r="M349" t="s">
        <v>3180</v>
      </c>
      <c r="N349" t="s">
        <v>395</v>
      </c>
    </row>
    <row r="350" spans="1:14" ht="11.25" customHeight="1">
      <c r="A350" s="1753" t="s">
        <v>2199</v>
      </c>
      <c r="B350" s="1753" t="s">
        <v>14</v>
      </c>
      <c r="C350" s="1753" t="s">
        <v>2662</v>
      </c>
      <c r="D350" s="1753" t="s">
        <v>2663</v>
      </c>
      <c r="E350" s="1753" t="s">
        <v>2664</v>
      </c>
      <c r="F350" s="1753" t="s">
        <v>2665</v>
      </c>
      <c r="G350" s="1753" t="s">
        <v>2666</v>
      </c>
      <c r="H350" s="1753" t="s">
        <v>17</v>
      </c>
      <c r="I350" s="1753" t="s">
        <v>2330</v>
      </c>
      <c r="J350" t="s">
        <v>17</v>
      </c>
      <c r="K350" t="s">
        <v>3174</v>
      </c>
      <c r="L350" t="s">
        <v>3175</v>
      </c>
      <c r="M350" t="s">
        <v>3176</v>
      </c>
      <c r="N350" t="s">
        <v>395</v>
      </c>
    </row>
    <row r="351" spans="1:14" ht="11.25" customHeight="1">
      <c r="A351" s="1753" t="s">
        <v>2199</v>
      </c>
      <c r="B351" s="1753" t="s">
        <v>14</v>
      </c>
      <c r="C351" s="1753" t="s">
        <v>2667</v>
      </c>
      <c r="D351" s="1753" t="s">
        <v>2668</v>
      </c>
      <c r="E351" s="1753" t="s">
        <v>2669</v>
      </c>
      <c r="F351" s="1753" t="s">
        <v>2670</v>
      </c>
      <c r="G351" s="1753" t="s">
        <v>17</v>
      </c>
      <c r="H351" s="1753" t="s">
        <v>17</v>
      </c>
      <c r="I351" s="1753" t="s">
        <v>2452</v>
      </c>
      <c r="J351" t="s">
        <v>17</v>
      </c>
      <c r="K351" t="s">
        <v>3174</v>
      </c>
      <c r="L351" t="s">
        <v>3175</v>
      </c>
      <c r="M351" t="s">
        <v>3176</v>
      </c>
      <c r="N351" t="s">
        <v>395</v>
      </c>
    </row>
    <row r="352" spans="1:14" ht="11.25" customHeight="1">
      <c r="A352" s="1753" t="s">
        <v>2199</v>
      </c>
      <c r="B352" s="1753" t="s">
        <v>14</v>
      </c>
      <c r="C352" s="1753" t="s">
        <v>2685</v>
      </c>
      <c r="D352" s="1753" t="s">
        <v>2686</v>
      </c>
      <c r="E352" s="1753" t="s">
        <v>2687</v>
      </c>
      <c r="F352" s="1753" t="s">
        <v>2424</v>
      </c>
      <c r="G352" s="1753" t="s">
        <v>2688</v>
      </c>
      <c r="H352" s="1753" t="s">
        <v>17</v>
      </c>
      <c r="I352" s="1753" t="s">
        <v>2330</v>
      </c>
      <c r="J352" t="s">
        <v>17</v>
      </c>
      <c r="K352" t="s">
        <v>3174</v>
      </c>
      <c r="L352" t="s">
        <v>3175</v>
      </c>
      <c r="M352" t="s">
        <v>3176</v>
      </c>
      <c r="N352" t="s">
        <v>395</v>
      </c>
    </row>
    <row r="353" spans="1:14" ht="11.25" customHeight="1">
      <c r="A353" s="1753" t="s">
        <v>2199</v>
      </c>
      <c r="B353" s="1753" t="s">
        <v>14</v>
      </c>
      <c r="C353" s="1753" t="s">
        <v>2689</v>
      </c>
      <c r="D353" s="1753" t="s">
        <v>2690</v>
      </c>
      <c r="E353" s="1753" t="s">
        <v>2691</v>
      </c>
      <c r="F353" s="1753" t="s">
        <v>2424</v>
      </c>
      <c r="G353" s="1753" t="s">
        <v>17</v>
      </c>
      <c r="H353" s="1753" t="s">
        <v>17</v>
      </c>
      <c r="I353" s="1753" t="s">
        <v>2469</v>
      </c>
      <c r="J353" t="s">
        <v>2469</v>
      </c>
      <c r="K353" t="s">
        <v>3179</v>
      </c>
      <c r="L353" t="s">
        <v>3187</v>
      </c>
      <c r="M353" t="s">
        <v>3188</v>
      </c>
      <c r="N353" t="s">
        <v>395</v>
      </c>
    </row>
    <row r="354" spans="1:14" ht="11.25" customHeight="1">
      <c r="A354" s="1753" t="s">
        <v>2199</v>
      </c>
      <c r="B354" s="1753" t="s">
        <v>14</v>
      </c>
      <c r="C354" s="1753" t="s">
        <v>2689</v>
      </c>
      <c r="D354" s="1753" t="s">
        <v>2690</v>
      </c>
      <c r="E354" s="1753" t="s">
        <v>2691</v>
      </c>
      <c r="F354" s="1753" t="s">
        <v>2424</v>
      </c>
      <c r="G354" s="1753" t="s">
        <v>17</v>
      </c>
      <c r="H354" s="1753" t="s">
        <v>17</v>
      </c>
      <c r="I354" s="1753" t="s">
        <v>2469</v>
      </c>
      <c r="J354" t="s">
        <v>17</v>
      </c>
      <c r="K354" t="s">
        <v>3174</v>
      </c>
      <c r="L354" t="s">
        <v>3185</v>
      </c>
      <c r="M354" t="s">
        <v>3186</v>
      </c>
      <c r="N354" t="s">
        <v>395</v>
      </c>
    </row>
    <row r="355" spans="1:14" ht="11.25" customHeight="1">
      <c r="A355" s="1753" t="s">
        <v>2199</v>
      </c>
      <c r="B355" s="1753" t="s">
        <v>14</v>
      </c>
      <c r="C355" s="1753" t="s">
        <v>2689</v>
      </c>
      <c r="D355" s="1753" t="s">
        <v>2690</v>
      </c>
      <c r="E355" s="1753" t="s">
        <v>2691</v>
      </c>
      <c r="F355" s="1753" t="s">
        <v>2424</v>
      </c>
      <c r="G355" s="1753" t="s">
        <v>17</v>
      </c>
      <c r="H355" s="1753" t="s">
        <v>17</v>
      </c>
      <c r="I355" s="1753" t="s">
        <v>3192</v>
      </c>
      <c r="J355" t="s">
        <v>17</v>
      </c>
      <c r="K355" t="s">
        <v>3179</v>
      </c>
      <c r="L355" t="s">
        <v>3187</v>
      </c>
      <c r="M355" t="s">
        <v>3188</v>
      </c>
      <c r="N355" t="s">
        <v>395</v>
      </c>
    </row>
    <row r="356" spans="1:14" ht="11.25" customHeight="1">
      <c r="A356" s="1753" t="s">
        <v>2199</v>
      </c>
      <c r="B356" s="1753" t="s">
        <v>14</v>
      </c>
      <c r="C356" s="1753" t="s">
        <v>2753</v>
      </c>
      <c r="D356" s="1753" t="s">
        <v>45</v>
      </c>
      <c r="E356" s="1753" t="s">
        <v>48</v>
      </c>
      <c r="F356" s="1753" t="s">
        <v>50</v>
      </c>
      <c r="G356" s="1753" t="s">
        <v>17</v>
      </c>
      <c r="H356" s="1753" t="s">
        <v>17</v>
      </c>
      <c r="I356" s="1753" t="s">
        <v>2214</v>
      </c>
      <c r="J356" t="s">
        <v>17</v>
      </c>
      <c r="K356" t="s">
        <v>3174</v>
      </c>
      <c r="L356" t="s">
        <v>3175</v>
      </c>
      <c r="M356" t="s">
        <v>3176</v>
      </c>
      <c r="N356" t="s">
        <v>395</v>
      </c>
    </row>
    <row r="357" spans="1:14" ht="11.25" customHeight="1">
      <c r="A357" s="1753" t="s">
        <v>2199</v>
      </c>
      <c r="B357" s="1753" t="s">
        <v>14</v>
      </c>
      <c r="C357" s="1753" t="s">
        <v>2758</v>
      </c>
      <c r="D357" s="1753" t="s">
        <v>2759</v>
      </c>
      <c r="E357" s="1753" t="s">
        <v>2760</v>
      </c>
      <c r="F357" s="1753" t="s">
        <v>2301</v>
      </c>
      <c r="G357" s="1753" t="s">
        <v>17</v>
      </c>
      <c r="H357" s="1753" t="s">
        <v>17</v>
      </c>
      <c r="I357" s="1753" t="s">
        <v>2715</v>
      </c>
      <c r="J357" t="s">
        <v>17</v>
      </c>
      <c r="K357" t="s">
        <v>3174</v>
      </c>
      <c r="L357" t="s">
        <v>3175</v>
      </c>
      <c r="M357" t="s">
        <v>3176</v>
      </c>
      <c r="N357" t="s">
        <v>395</v>
      </c>
    </row>
    <row r="358" spans="1:14" ht="11.25" customHeight="1">
      <c r="A358" s="1753" t="s">
        <v>2199</v>
      </c>
      <c r="B358" s="1753" t="s">
        <v>14</v>
      </c>
      <c r="C358" s="1753" t="s">
        <v>2758</v>
      </c>
      <c r="D358" s="1753" t="s">
        <v>2759</v>
      </c>
      <c r="E358" s="1753" t="s">
        <v>2760</v>
      </c>
      <c r="F358" s="1753" t="s">
        <v>2301</v>
      </c>
      <c r="G358" s="1753" t="s">
        <v>17</v>
      </c>
      <c r="H358" s="1753" t="s">
        <v>17</v>
      </c>
      <c r="I358" s="1753" t="s">
        <v>3161</v>
      </c>
      <c r="J358" t="s">
        <v>17</v>
      </c>
      <c r="K358" t="s">
        <v>3174</v>
      </c>
      <c r="L358" t="s">
        <v>3175</v>
      </c>
      <c r="M358" t="s">
        <v>3176</v>
      </c>
      <c r="N358" t="s">
        <v>395</v>
      </c>
    </row>
    <row r="359" spans="1:14" ht="11.25" customHeight="1">
      <c r="A359" s="1753" t="s">
        <v>2199</v>
      </c>
      <c r="B359" s="1753" t="s">
        <v>14</v>
      </c>
      <c r="C359" s="1753" t="s">
        <v>2758</v>
      </c>
      <c r="D359" s="1753" t="s">
        <v>2759</v>
      </c>
      <c r="E359" s="1753" t="s">
        <v>2760</v>
      </c>
      <c r="F359" s="1753" t="s">
        <v>2301</v>
      </c>
      <c r="G359" s="1753" t="s">
        <v>17</v>
      </c>
      <c r="H359" s="1753" t="s">
        <v>17</v>
      </c>
      <c r="I359" s="1753" t="s">
        <v>2330</v>
      </c>
      <c r="J359" t="s">
        <v>17</v>
      </c>
      <c r="K359" t="s">
        <v>3174</v>
      </c>
      <c r="L359" t="s">
        <v>3175</v>
      </c>
      <c r="M359" t="s">
        <v>3176</v>
      </c>
      <c r="N359" t="s">
        <v>395</v>
      </c>
    </row>
    <row r="360" spans="1:14" ht="11.25" customHeight="1">
      <c r="A360" s="1753" t="s">
        <v>2199</v>
      </c>
      <c r="B360" s="1753" t="s">
        <v>14</v>
      </c>
      <c r="C360" s="1753" t="s">
        <v>2758</v>
      </c>
      <c r="D360" s="1753" t="s">
        <v>2759</v>
      </c>
      <c r="E360" s="1753" t="s">
        <v>2760</v>
      </c>
      <c r="F360" s="1753" t="s">
        <v>2301</v>
      </c>
      <c r="G360" s="1753" t="s">
        <v>17</v>
      </c>
      <c r="H360" s="1753" t="s">
        <v>17</v>
      </c>
      <c r="I360" s="1753" t="s">
        <v>2469</v>
      </c>
      <c r="J360" t="s">
        <v>17</v>
      </c>
      <c r="K360" t="s">
        <v>3174</v>
      </c>
      <c r="L360" t="s">
        <v>3175</v>
      </c>
      <c r="M360" t="s">
        <v>3176</v>
      </c>
      <c r="N360" t="s">
        <v>395</v>
      </c>
    </row>
    <row r="361" spans="1:14" ht="11.25" customHeight="1">
      <c r="A361" s="1753" t="s">
        <v>2199</v>
      </c>
      <c r="B361" s="1753" t="s">
        <v>14</v>
      </c>
      <c r="C361" s="1753" t="s">
        <v>2761</v>
      </c>
      <c r="D361" s="1753" t="s">
        <v>2762</v>
      </c>
      <c r="E361" s="1753" t="s">
        <v>2763</v>
      </c>
      <c r="F361" s="1753" t="s">
        <v>2268</v>
      </c>
      <c r="G361" s="1753" t="s">
        <v>17</v>
      </c>
      <c r="H361" s="1753" t="s">
        <v>17</v>
      </c>
      <c r="I361" s="1753" t="s">
        <v>2246</v>
      </c>
      <c r="J361" t="s">
        <v>17</v>
      </c>
      <c r="K361" t="s">
        <v>3174</v>
      </c>
      <c r="L361" t="s">
        <v>3175</v>
      </c>
      <c r="M361" t="s">
        <v>3176</v>
      </c>
      <c r="N361" t="s">
        <v>395</v>
      </c>
    </row>
    <row r="362" spans="1:14" ht="11.25" customHeight="1">
      <c r="A362" s="1753" t="s">
        <v>2199</v>
      </c>
      <c r="B362" s="1753" t="s">
        <v>14</v>
      </c>
      <c r="C362" s="1753" t="s">
        <v>2767</v>
      </c>
      <c r="D362" s="1753" t="s">
        <v>2768</v>
      </c>
      <c r="E362" s="1753" t="s">
        <v>2769</v>
      </c>
      <c r="F362" s="1753" t="s">
        <v>2268</v>
      </c>
      <c r="G362" s="1753" t="s">
        <v>17</v>
      </c>
      <c r="H362" s="1753" t="s">
        <v>17</v>
      </c>
      <c r="I362" s="1753" t="s">
        <v>2770</v>
      </c>
      <c r="J362" t="s">
        <v>17</v>
      </c>
      <c r="K362" t="s">
        <v>3174</v>
      </c>
      <c r="L362" t="s">
        <v>3175</v>
      </c>
      <c r="M362" t="s">
        <v>3176</v>
      </c>
      <c r="N362" t="s">
        <v>395</v>
      </c>
    </row>
    <row r="363" spans="1:14" ht="11.25" customHeight="1">
      <c r="A363" s="1753" t="s">
        <v>2199</v>
      </c>
      <c r="B363" s="1753" t="s">
        <v>14</v>
      </c>
      <c r="C363" s="1753" t="s">
        <v>2767</v>
      </c>
      <c r="D363" s="1753" t="s">
        <v>2768</v>
      </c>
      <c r="E363" s="1753" t="s">
        <v>2769</v>
      </c>
      <c r="F363" s="1753" t="s">
        <v>2268</v>
      </c>
      <c r="G363" s="1753" t="s">
        <v>17</v>
      </c>
      <c r="H363" s="1753" t="s">
        <v>17</v>
      </c>
      <c r="I363" s="1753" t="s">
        <v>2330</v>
      </c>
      <c r="J363" t="s">
        <v>17</v>
      </c>
      <c r="K363" t="s">
        <v>3174</v>
      </c>
      <c r="L363" t="s">
        <v>3175</v>
      </c>
      <c r="M363" t="s">
        <v>3176</v>
      </c>
      <c r="N363" t="s">
        <v>395</v>
      </c>
    </row>
    <row r="364" spans="1:14" ht="11.25" customHeight="1">
      <c r="A364" s="1753" t="s">
        <v>2199</v>
      </c>
      <c r="B364" s="1753" t="s">
        <v>14</v>
      </c>
      <c r="C364" s="1753" t="s">
        <v>2771</v>
      </c>
      <c r="D364" s="1753" t="s">
        <v>2772</v>
      </c>
      <c r="E364" s="1753" t="s">
        <v>2773</v>
      </c>
      <c r="F364" s="1753" t="s">
        <v>2268</v>
      </c>
      <c r="G364" s="1753" t="s">
        <v>17</v>
      </c>
      <c r="H364" s="1753" t="s">
        <v>17</v>
      </c>
      <c r="I364" s="1753" t="s">
        <v>2774</v>
      </c>
      <c r="J364" t="s">
        <v>17</v>
      </c>
      <c r="K364" t="s">
        <v>3174</v>
      </c>
      <c r="L364" t="s">
        <v>3175</v>
      </c>
      <c r="M364" t="s">
        <v>3176</v>
      </c>
      <c r="N364" t="s">
        <v>395</v>
      </c>
    </row>
    <row r="365" spans="1:14" ht="11.25" customHeight="1">
      <c r="A365" s="1753" t="s">
        <v>2199</v>
      </c>
      <c r="B365" s="1753" t="s">
        <v>14</v>
      </c>
      <c r="C365" s="1753" t="s">
        <v>2771</v>
      </c>
      <c r="D365" s="1753" t="s">
        <v>2772</v>
      </c>
      <c r="E365" s="1753" t="s">
        <v>2773</v>
      </c>
      <c r="F365" s="1753" t="s">
        <v>2268</v>
      </c>
      <c r="G365" s="1753" t="s">
        <v>17</v>
      </c>
      <c r="H365" s="1753" t="s">
        <v>17</v>
      </c>
      <c r="I365" s="1753" t="s">
        <v>2775</v>
      </c>
      <c r="J365" t="s">
        <v>17</v>
      </c>
      <c r="K365" t="s">
        <v>3174</v>
      </c>
      <c r="L365" t="s">
        <v>3175</v>
      </c>
      <c r="M365" t="s">
        <v>3176</v>
      </c>
      <c r="N365" t="s">
        <v>395</v>
      </c>
    </row>
    <row r="366" spans="1:14" ht="11.25" customHeight="1">
      <c r="A366" s="1753" t="s">
        <v>2199</v>
      </c>
      <c r="B366" s="1753" t="s">
        <v>14</v>
      </c>
      <c r="C366" s="1753" t="s">
        <v>2771</v>
      </c>
      <c r="D366" s="1753" t="s">
        <v>2772</v>
      </c>
      <c r="E366" s="1753" t="s">
        <v>2773</v>
      </c>
      <c r="F366" s="1753" t="s">
        <v>2268</v>
      </c>
      <c r="G366" s="1753" t="s">
        <v>17</v>
      </c>
      <c r="H366" s="1753" t="s">
        <v>17</v>
      </c>
      <c r="I366" s="1753" t="s">
        <v>2776</v>
      </c>
      <c r="J366" t="s">
        <v>17</v>
      </c>
      <c r="K366" t="s">
        <v>3174</v>
      </c>
      <c r="L366" t="s">
        <v>3175</v>
      </c>
      <c r="M366" t="s">
        <v>3176</v>
      </c>
      <c r="N366" t="s">
        <v>395</v>
      </c>
    </row>
    <row r="367" spans="1:14" ht="11.25" customHeight="1">
      <c r="A367" s="1753" t="s">
        <v>2199</v>
      </c>
      <c r="B367" s="1753" t="s">
        <v>14</v>
      </c>
      <c r="C367" s="1753" t="s">
        <v>2777</v>
      </c>
      <c r="D367" s="1753" t="s">
        <v>2778</v>
      </c>
      <c r="E367" s="1753" t="s">
        <v>2779</v>
      </c>
      <c r="F367" s="1753" t="s">
        <v>2780</v>
      </c>
      <c r="G367" s="1753" t="s">
        <v>17</v>
      </c>
      <c r="H367" s="1753" t="s">
        <v>17</v>
      </c>
      <c r="I367" s="1753" t="s">
        <v>2246</v>
      </c>
      <c r="J367" t="s">
        <v>17</v>
      </c>
      <c r="K367" t="s">
        <v>3174</v>
      </c>
      <c r="L367" t="s">
        <v>3175</v>
      </c>
      <c r="M367" t="s">
        <v>3176</v>
      </c>
      <c r="N367" t="s">
        <v>395</v>
      </c>
    </row>
    <row r="368" spans="1:14" ht="11.25" customHeight="1">
      <c r="A368" s="1753" t="s">
        <v>2199</v>
      </c>
      <c r="B368" s="1753" t="s">
        <v>14</v>
      </c>
      <c r="C368" s="1753" t="s">
        <v>2785</v>
      </c>
      <c r="D368" s="1753" t="s">
        <v>2786</v>
      </c>
      <c r="E368" s="1753" t="s">
        <v>2787</v>
      </c>
      <c r="F368" s="1753" t="s">
        <v>2245</v>
      </c>
      <c r="G368" s="1753" t="s">
        <v>17</v>
      </c>
      <c r="H368" s="1753" t="s">
        <v>17</v>
      </c>
      <c r="I368" s="1753" t="s">
        <v>2246</v>
      </c>
      <c r="J368" t="s">
        <v>17</v>
      </c>
      <c r="K368" t="s">
        <v>3174</v>
      </c>
      <c r="L368" t="s">
        <v>3181</v>
      </c>
      <c r="M368" t="s">
        <v>3182</v>
      </c>
      <c r="N368" t="s">
        <v>395</v>
      </c>
    </row>
    <row r="369" spans="1:14" ht="11.25" customHeight="1">
      <c r="A369" s="1753" t="s">
        <v>2199</v>
      </c>
      <c r="B369" s="1753" t="s">
        <v>14</v>
      </c>
      <c r="C369" s="1753" t="s">
        <v>2799</v>
      </c>
      <c r="D369" s="1753" t="s">
        <v>2800</v>
      </c>
      <c r="E369" s="1753" t="s">
        <v>2801</v>
      </c>
      <c r="F369" s="1753" t="s">
        <v>2388</v>
      </c>
      <c r="G369" s="1753" t="s">
        <v>17</v>
      </c>
      <c r="H369" s="1753" t="s">
        <v>17</v>
      </c>
      <c r="I369" s="1753" t="s">
        <v>3178</v>
      </c>
      <c r="J369" t="s">
        <v>17</v>
      </c>
      <c r="K369" t="s">
        <v>3174</v>
      </c>
      <c r="L369" t="s">
        <v>3181</v>
      </c>
      <c r="M369" t="s">
        <v>3182</v>
      </c>
      <c r="N369" t="s">
        <v>395</v>
      </c>
    </row>
    <row r="370" spans="1:14" ht="11.25" customHeight="1">
      <c r="A370" s="1753" t="s">
        <v>2199</v>
      </c>
      <c r="B370" s="1753" t="s">
        <v>14</v>
      </c>
      <c r="C370" s="1753" t="s">
        <v>2803</v>
      </c>
      <c r="D370" s="1753" t="s">
        <v>2804</v>
      </c>
      <c r="E370" s="1753" t="s">
        <v>2805</v>
      </c>
      <c r="F370" s="1753" t="s">
        <v>2264</v>
      </c>
      <c r="G370" s="1753" t="s">
        <v>17</v>
      </c>
      <c r="H370" s="1753" t="s">
        <v>17</v>
      </c>
      <c r="I370" s="1753" t="s">
        <v>2806</v>
      </c>
      <c r="J370" t="s">
        <v>17</v>
      </c>
      <c r="K370" t="s">
        <v>3174</v>
      </c>
      <c r="L370" t="s">
        <v>3175</v>
      </c>
      <c r="M370" t="s">
        <v>3176</v>
      </c>
      <c r="N370" t="s">
        <v>395</v>
      </c>
    </row>
    <row r="371" spans="1:14" ht="11.25" customHeight="1">
      <c r="A371" s="1753" t="s">
        <v>2199</v>
      </c>
      <c r="B371" s="1753" t="s">
        <v>14</v>
      </c>
      <c r="C371" s="1753" t="s">
        <v>2807</v>
      </c>
      <c r="D371" s="1753" t="s">
        <v>2808</v>
      </c>
      <c r="E371" s="1753" t="s">
        <v>2809</v>
      </c>
      <c r="F371" s="1753" t="s">
        <v>2203</v>
      </c>
      <c r="G371" s="1753" t="s">
        <v>17</v>
      </c>
      <c r="H371" s="1753" t="s">
        <v>17</v>
      </c>
      <c r="I371" s="1753" t="s">
        <v>2366</v>
      </c>
      <c r="J371" t="s">
        <v>17</v>
      </c>
      <c r="K371" t="s">
        <v>3174</v>
      </c>
      <c r="L371" t="s">
        <v>3175</v>
      </c>
      <c r="M371" t="s">
        <v>3176</v>
      </c>
      <c r="N371" t="s">
        <v>395</v>
      </c>
    </row>
    <row r="372" spans="1:14" ht="11.25" customHeight="1">
      <c r="A372" s="1753" t="s">
        <v>2199</v>
      </c>
      <c r="B372" s="1753" t="s">
        <v>14</v>
      </c>
      <c r="C372" s="1753" t="s">
        <v>2811</v>
      </c>
      <c r="D372" s="1753" t="s">
        <v>2812</v>
      </c>
      <c r="E372" s="1753" t="s">
        <v>2813</v>
      </c>
      <c r="F372" s="1753" t="s">
        <v>2259</v>
      </c>
      <c r="G372" s="1753" t="s">
        <v>17</v>
      </c>
      <c r="H372" s="1753" t="s">
        <v>17</v>
      </c>
      <c r="I372" s="1753" t="s">
        <v>2814</v>
      </c>
      <c r="J372" t="s">
        <v>17</v>
      </c>
      <c r="K372" t="s">
        <v>3174</v>
      </c>
      <c r="L372" t="s">
        <v>3175</v>
      </c>
      <c r="M372" t="s">
        <v>3176</v>
      </c>
      <c r="N372" t="s">
        <v>395</v>
      </c>
    </row>
    <row r="373" spans="1:14" ht="11.25" customHeight="1">
      <c r="A373" s="1753" t="s">
        <v>2199</v>
      </c>
      <c r="B373" s="1753" t="s">
        <v>14</v>
      </c>
      <c r="C373" s="1753" t="s">
        <v>2828</v>
      </c>
      <c r="D373" s="1753" t="s">
        <v>2829</v>
      </c>
      <c r="E373" s="1753" t="s">
        <v>2830</v>
      </c>
      <c r="F373" s="1753" t="s">
        <v>2268</v>
      </c>
      <c r="G373" s="1753" t="s">
        <v>2831</v>
      </c>
      <c r="H373" s="1753" t="s">
        <v>17</v>
      </c>
      <c r="I373" s="1753" t="s">
        <v>2326</v>
      </c>
      <c r="J373" t="s">
        <v>17</v>
      </c>
      <c r="K373" t="s">
        <v>3174</v>
      </c>
      <c r="L373" t="s">
        <v>3175</v>
      </c>
      <c r="M373" t="s">
        <v>3176</v>
      </c>
      <c r="N373" t="s">
        <v>395</v>
      </c>
    </row>
    <row r="374" spans="1:14" ht="11.25" customHeight="1">
      <c r="A374" s="1753" t="s">
        <v>2199</v>
      </c>
      <c r="B374" s="1753" t="s">
        <v>14</v>
      </c>
      <c r="C374" s="1753" t="s">
        <v>2832</v>
      </c>
      <c r="D374" s="1753" t="s">
        <v>2833</v>
      </c>
      <c r="E374" s="1753" t="s">
        <v>2834</v>
      </c>
      <c r="F374" s="1753" t="s">
        <v>2732</v>
      </c>
      <c r="G374" s="1753" t="s">
        <v>17</v>
      </c>
      <c r="H374" s="1753" t="s">
        <v>17</v>
      </c>
      <c r="I374" s="1753" t="s">
        <v>2330</v>
      </c>
      <c r="J374" t="s">
        <v>17</v>
      </c>
      <c r="K374" t="s">
        <v>3174</v>
      </c>
      <c r="L374" t="s">
        <v>3175</v>
      </c>
      <c r="M374" t="s">
        <v>3176</v>
      </c>
      <c r="N374" t="s">
        <v>395</v>
      </c>
    </row>
    <row r="375" spans="1:14" ht="11.25" customHeight="1">
      <c r="A375" s="1753" t="s">
        <v>2199</v>
      </c>
      <c r="B375" s="1753" t="s">
        <v>14</v>
      </c>
      <c r="C375" s="1753" t="s">
        <v>2835</v>
      </c>
      <c r="D375" s="1753" t="s">
        <v>2836</v>
      </c>
      <c r="E375" s="1753" t="s">
        <v>2837</v>
      </c>
      <c r="F375" s="1753" t="s">
        <v>2314</v>
      </c>
      <c r="G375" s="1753" t="s">
        <v>17</v>
      </c>
      <c r="H375" s="1753" t="s">
        <v>17</v>
      </c>
      <c r="I375" s="1753" t="s">
        <v>2838</v>
      </c>
      <c r="J375" t="s">
        <v>17</v>
      </c>
      <c r="K375" t="s">
        <v>3174</v>
      </c>
      <c r="L375" t="s">
        <v>3175</v>
      </c>
      <c r="M375" t="s">
        <v>3176</v>
      </c>
      <c r="N375" t="s">
        <v>395</v>
      </c>
    </row>
    <row r="376" spans="1:14" ht="11.25" customHeight="1">
      <c r="A376" s="1753" t="s">
        <v>2199</v>
      </c>
      <c r="B376" s="1753" t="s">
        <v>14</v>
      </c>
      <c r="C376" s="1753" t="s">
        <v>2842</v>
      </c>
      <c r="D376" s="1753" t="s">
        <v>2843</v>
      </c>
      <c r="E376" s="1753" t="s">
        <v>2844</v>
      </c>
      <c r="F376" s="1753" t="s">
        <v>2314</v>
      </c>
      <c r="G376" s="1753" t="s">
        <v>2845</v>
      </c>
      <c r="H376" s="1753" t="s">
        <v>17</v>
      </c>
      <c r="I376" s="1753" t="s">
        <v>2325</v>
      </c>
      <c r="J376" t="s">
        <v>17</v>
      </c>
      <c r="K376" t="s">
        <v>3174</v>
      </c>
      <c r="L376" t="s">
        <v>3175</v>
      </c>
      <c r="M376" t="s">
        <v>3176</v>
      </c>
      <c r="N376" t="s">
        <v>395</v>
      </c>
    </row>
    <row r="377" spans="1:14" ht="11.25" customHeight="1">
      <c r="A377" s="1753" t="s">
        <v>2199</v>
      </c>
      <c r="B377" s="1753" t="s">
        <v>14</v>
      </c>
      <c r="C377" s="1753" t="s">
        <v>2861</v>
      </c>
      <c r="D377" s="1753" t="s">
        <v>2862</v>
      </c>
      <c r="E377" s="1753" t="s">
        <v>2863</v>
      </c>
      <c r="F377" s="1753" t="s">
        <v>2474</v>
      </c>
      <c r="G377" s="1753" t="s">
        <v>2864</v>
      </c>
      <c r="H377" s="1753" t="s">
        <v>17</v>
      </c>
      <c r="I377" s="1753" t="s">
        <v>3042</v>
      </c>
      <c r="J377" t="s">
        <v>17</v>
      </c>
      <c r="K377" t="s">
        <v>3174</v>
      </c>
      <c r="L377" t="s">
        <v>3175</v>
      </c>
      <c r="M377" t="s">
        <v>3176</v>
      </c>
      <c r="N377" t="s">
        <v>395</v>
      </c>
    </row>
    <row r="378" spans="1:14" ht="11.25" customHeight="1">
      <c r="A378" s="1753" t="s">
        <v>2199</v>
      </c>
      <c r="B378" s="1753" t="s">
        <v>14</v>
      </c>
      <c r="C378" s="1753" t="s">
        <v>2873</v>
      </c>
      <c r="D378" s="1753" t="s">
        <v>2874</v>
      </c>
      <c r="E378" s="1753" t="s">
        <v>2875</v>
      </c>
      <c r="F378" s="1753" t="s">
        <v>2306</v>
      </c>
      <c r="G378" s="1753" t="s">
        <v>2876</v>
      </c>
      <c r="H378" s="1753" t="s">
        <v>17</v>
      </c>
      <c r="I378" s="1753" t="s">
        <v>2877</v>
      </c>
      <c r="J378" t="s">
        <v>17</v>
      </c>
      <c r="K378" t="s">
        <v>3174</v>
      </c>
      <c r="L378" t="s">
        <v>3175</v>
      </c>
      <c r="M378" t="s">
        <v>3176</v>
      </c>
      <c r="N378" t="s">
        <v>395</v>
      </c>
    </row>
    <row r="379" spans="1:14" ht="11.25" customHeight="1">
      <c r="A379" s="1753" t="s">
        <v>2199</v>
      </c>
      <c r="B379" s="1753" t="s">
        <v>14</v>
      </c>
      <c r="C379" s="1753" t="s">
        <v>2878</v>
      </c>
      <c r="D379" s="1753" t="s">
        <v>2879</v>
      </c>
      <c r="E379" s="1753" t="s">
        <v>2880</v>
      </c>
      <c r="F379" s="1753" t="s">
        <v>2203</v>
      </c>
      <c r="G379" s="1753" t="s">
        <v>17</v>
      </c>
      <c r="H379" s="1753" t="s">
        <v>17</v>
      </c>
      <c r="I379" s="1753" t="s">
        <v>2444</v>
      </c>
      <c r="J379" t="s">
        <v>17</v>
      </c>
      <c r="K379" t="s">
        <v>3174</v>
      </c>
      <c r="L379" t="s">
        <v>3175</v>
      </c>
      <c r="M379" t="s">
        <v>3176</v>
      </c>
      <c r="N379" t="s">
        <v>395</v>
      </c>
    </row>
    <row r="380" spans="1:14" ht="11.25" customHeight="1">
      <c r="A380" s="1753" t="s">
        <v>2199</v>
      </c>
      <c r="B380" s="1753" t="s">
        <v>14</v>
      </c>
      <c r="C380" s="1753" t="s">
        <v>2878</v>
      </c>
      <c r="D380" s="1753" t="s">
        <v>2879</v>
      </c>
      <c r="E380" s="1753" t="s">
        <v>2880</v>
      </c>
      <c r="F380" s="1753" t="s">
        <v>2203</v>
      </c>
      <c r="G380" s="1753" t="s">
        <v>17</v>
      </c>
      <c r="H380" s="1753" t="s">
        <v>17</v>
      </c>
      <c r="I380" s="1753" t="s">
        <v>2330</v>
      </c>
      <c r="J380" t="s">
        <v>17</v>
      </c>
      <c r="K380" t="s">
        <v>3174</v>
      </c>
      <c r="L380" t="s">
        <v>3175</v>
      </c>
      <c r="M380" t="s">
        <v>3176</v>
      </c>
      <c r="N380" t="s">
        <v>395</v>
      </c>
    </row>
    <row r="381" spans="1:14" ht="11.25" customHeight="1">
      <c r="A381" s="1753" t="s">
        <v>2199</v>
      </c>
      <c r="B381" s="1753" t="s">
        <v>14</v>
      </c>
      <c r="C381" s="1753" t="s">
        <v>2881</v>
      </c>
      <c r="D381" s="1753" t="s">
        <v>2882</v>
      </c>
      <c r="E381" s="1753" t="s">
        <v>2883</v>
      </c>
      <c r="F381" s="1753" t="s">
        <v>2203</v>
      </c>
      <c r="G381" s="1753" t="s">
        <v>17</v>
      </c>
      <c r="H381" s="1753" t="s">
        <v>17</v>
      </c>
      <c r="I381" s="1753" t="s">
        <v>2884</v>
      </c>
      <c r="J381" t="s">
        <v>17</v>
      </c>
      <c r="K381" t="s">
        <v>3174</v>
      </c>
      <c r="L381" t="s">
        <v>3175</v>
      </c>
      <c r="M381" t="s">
        <v>3176</v>
      </c>
      <c r="N381" t="s">
        <v>395</v>
      </c>
    </row>
    <row r="382" spans="1:14" ht="11.25" customHeight="1">
      <c r="A382" s="1753" t="s">
        <v>2199</v>
      </c>
      <c r="B382" s="1753" t="s">
        <v>14</v>
      </c>
      <c r="C382" s="1753" t="s">
        <v>2889</v>
      </c>
      <c r="D382" s="1753" t="s">
        <v>2890</v>
      </c>
      <c r="E382" s="1753" t="s">
        <v>2891</v>
      </c>
      <c r="F382" s="1753" t="s">
        <v>2424</v>
      </c>
      <c r="G382" s="1753" t="s">
        <v>17</v>
      </c>
      <c r="H382" s="1753" t="s">
        <v>17</v>
      </c>
      <c r="I382" s="1753" t="s">
        <v>2330</v>
      </c>
      <c r="J382" t="s">
        <v>17</v>
      </c>
      <c r="K382" t="s">
        <v>3174</v>
      </c>
      <c r="L382" t="s">
        <v>3175</v>
      </c>
      <c r="M382" t="s">
        <v>3176</v>
      </c>
      <c r="N382" t="s">
        <v>395</v>
      </c>
    </row>
    <row r="383" spans="1:14" ht="11.25" customHeight="1">
      <c r="A383" s="1753" t="s">
        <v>2199</v>
      </c>
      <c r="B383" s="1753" t="s">
        <v>14</v>
      </c>
      <c r="C383" s="1753" t="s">
        <v>2892</v>
      </c>
      <c r="D383" s="1753" t="s">
        <v>2893</v>
      </c>
      <c r="E383" s="1753" t="s">
        <v>2894</v>
      </c>
      <c r="F383" s="1753" t="s">
        <v>2301</v>
      </c>
      <c r="G383" s="1753" t="s">
        <v>17</v>
      </c>
      <c r="H383" s="1753" t="s">
        <v>17</v>
      </c>
      <c r="I383" s="1753" t="s">
        <v>2492</v>
      </c>
      <c r="J383" t="s">
        <v>17</v>
      </c>
      <c r="K383" t="s">
        <v>3174</v>
      </c>
      <c r="L383" t="s">
        <v>3175</v>
      </c>
      <c r="M383" t="s">
        <v>3176</v>
      </c>
      <c r="N383" t="s">
        <v>395</v>
      </c>
    </row>
    <row r="384" spans="1:14" ht="11.25" customHeight="1">
      <c r="A384" s="1753" t="s">
        <v>2199</v>
      </c>
      <c r="B384" s="1753" t="s">
        <v>14</v>
      </c>
      <c r="C384" s="1753" t="s">
        <v>2898</v>
      </c>
      <c r="D384" s="1753" t="s">
        <v>2899</v>
      </c>
      <c r="E384" s="1753" t="s">
        <v>2900</v>
      </c>
      <c r="F384" s="1753" t="s">
        <v>2223</v>
      </c>
      <c r="G384" s="1753" t="s">
        <v>17</v>
      </c>
      <c r="H384" s="1753" t="s">
        <v>17</v>
      </c>
      <c r="I384" s="1753" t="s">
        <v>2901</v>
      </c>
      <c r="J384" t="s">
        <v>2206</v>
      </c>
      <c r="K384" t="s">
        <v>3174</v>
      </c>
      <c r="L384" t="s">
        <v>3181</v>
      </c>
      <c r="M384" t="s">
        <v>3182</v>
      </c>
      <c r="N384" t="s">
        <v>395</v>
      </c>
    </row>
    <row r="385" spans="1:14" ht="11.25" customHeight="1">
      <c r="A385" s="1753" t="s">
        <v>2199</v>
      </c>
      <c r="B385" s="1753" t="s">
        <v>14</v>
      </c>
      <c r="C385" s="1753" t="s">
        <v>2898</v>
      </c>
      <c r="D385" s="1753" t="s">
        <v>2899</v>
      </c>
      <c r="E385" s="1753" t="s">
        <v>2900</v>
      </c>
      <c r="F385" s="1753" t="s">
        <v>2223</v>
      </c>
      <c r="G385" s="1753" t="s">
        <v>17</v>
      </c>
      <c r="H385" s="1753" t="s">
        <v>17</v>
      </c>
      <c r="I385" s="1753" t="s">
        <v>2209</v>
      </c>
      <c r="J385" t="s">
        <v>17</v>
      </c>
      <c r="K385" t="s">
        <v>3174</v>
      </c>
      <c r="L385" t="s">
        <v>3181</v>
      </c>
      <c r="M385" t="s">
        <v>3182</v>
      </c>
      <c r="N385" t="s">
        <v>395</v>
      </c>
    </row>
    <row r="386" spans="1:14" ht="11.25" customHeight="1">
      <c r="A386" s="1753" t="s">
        <v>2199</v>
      </c>
      <c r="B386" s="1753" t="s">
        <v>14</v>
      </c>
      <c r="C386" s="1753" t="s">
        <v>2902</v>
      </c>
      <c r="D386" s="1753" t="s">
        <v>2903</v>
      </c>
      <c r="E386" s="1753" t="s">
        <v>2904</v>
      </c>
      <c r="F386" s="1753" t="s">
        <v>2273</v>
      </c>
      <c r="G386" s="1753" t="s">
        <v>17</v>
      </c>
      <c r="H386" s="1753" t="s">
        <v>17</v>
      </c>
      <c r="I386" s="1753" t="s">
        <v>2905</v>
      </c>
      <c r="J386" t="s">
        <v>17</v>
      </c>
      <c r="K386" t="s">
        <v>3174</v>
      </c>
      <c r="L386" t="s">
        <v>3181</v>
      </c>
      <c r="M386" t="s">
        <v>3182</v>
      </c>
      <c r="N386" t="s">
        <v>395</v>
      </c>
    </row>
    <row r="387" spans="1:14" ht="11.25" customHeight="1">
      <c r="A387" s="1753" t="s">
        <v>2199</v>
      </c>
      <c r="B387" s="1753" t="s">
        <v>14</v>
      </c>
      <c r="C387" s="1753" t="s">
        <v>2906</v>
      </c>
      <c r="D387" s="1753" t="s">
        <v>2907</v>
      </c>
      <c r="E387" s="1753" t="s">
        <v>2908</v>
      </c>
      <c r="F387" s="1753" t="s">
        <v>2245</v>
      </c>
      <c r="G387" s="1753" t="s">
        <v>17</v>
      </c>
      <c r="H387" s="1753" t="s">
        <v>17</v>
      </c>
      <c r="I387" s="1753" t="s">
        <v>2246</v>
      </c>
      <c r="J387" t="s">
        <v>17</v>
      </c>
      <c r="K387" t="s">
        <v>3174</v>
      </c>
      <c r="L387" t="s">
        <v>3175</v>
      </c>
      <c r="M387" t="s">
        <v>3176</v>
      </c>
      <c r="N387" t="s">
        <v>395</v>
      </c>
    </row>
    <row r="388" spans="1:14" ht="11.25" customHeight="1">
      <c r="A388" s="1753" t="s">
        <v>2199</v>
      </c>
      <c r="B388" s="1753" t="s">
        <v>14</v>
      </c>
      <c r="C388" s="1753" t="s">
        <v>2909</v>
      </c>
      <c r="D388" s="1753" t="s">
        <v>2910</v>
      </c>
      <c r="E388" s="1753" t="s">
        <v>2911</v>
      </c>
      <c r="F388" s="1753" t="s">
        <v>2314</v>
      </c>
      <c r="G388" s="1753" t="s">
        <v>17</v>
      </c>
      <c r="H388" s="1753" t="s">
        <v>17</v>
      </c>
      <c r="I388" s="1753" t="s">
        <v>2326</v>
      </c>
      <c r="J388" t="s">
        <v>17</v>
      </c>
      <c r="K388" t="s">
        <v>3174</v>
      </c>
      <c r="L388" t="s">
        <v>3175</v>
      </c>
      <c r="M388" t="s">
        <v>3176</v>
      </c>
      <c r="N388" t="s">
        <v>395</v>
      </c>
    </row>
    <row r="389" spans="1:14" ht="11.25" customHeight="1">
      <c r="A389" s="1753" t="s">
        <v>2199</v>
      </c>
      <c r="B389" s="1753" t="s">
        <v>14</v>
      </c>
      <c r="C389" s="1753" t="s">
        <v>2909</v>
      </c>
      <c r="D389" s="1753" t="s">
        <v>2910</v>
      </c>
      <c r="E389" s="1753" t="s">
        <v>2911</v>
      </c>
      <c r="F389" s="1753" t="s">
        <v>2314</v>
      </c>
      <c r="G389" s="1753" t="s">
        <v>17</v>
      </c>
      <c r="H389" s="1753" t="s">
        <v>17</v>
      </c>
      <c r="I389" s="1753" t="s">
        <v>2246</v>
      </c>
      <c r="J389" t="s">
        <v>17</v>
      </c>
      <c r="K389" t="s">
        <v>3174</v>
      </c>
      <c r="L389" t="s">
        <v>3175</v>
      </c>
      <c r="M389" t="s">
        <v>3176</v>
      </c>
      <c r="N389" t="s">
        <v>395</v>
      </c>
    </row>
    <row r="390" spans="1:14" ht="11.25" customHeight="1">
      <c r="A390" s="1753" t="s">
        <v>2199</v>
      </c>
      <c r="B390" s="1753" t="s">
        <v>14</v>
      </c>
      <c r="C390" s="1753" t="s">
        <v>2923</v>
      </c>
      <c r="D390" s="1753" t="s">
        <v>2924</v>
      </c>
      <c r="E390" s="1753" t="s">
        <v>2925</v>
      </c>
      <c r="F390" s="1753" t="s">
        <v>2926</v>
      </c>
      <c r="G390" s="1753" t="s">
        <v>17</v>
      </c>
      <c r="H390" s="1753" t="s">
        <v>17</v>
      </c>
      <c r="I390" s="1753" t="s">
        <v>2927</v>
      </c>
      <c r="J390" t="s">
        <v>17</v>
      </c>
      <c r="K390" t="s">
        <v>3174</v>
      </c>
      <c r="L390" t="s">
        <v>3175</v>
      </c>
      <c r="M390" t="s">
        <v>3176</v>
      </c>
      <c r="N390" t="s">
        <v>395</v>
      </c>
    </row>
    <row r="391" spans="1:14" ht="11.25" customHeight="1">
      <c r="A391" s="1753" t="s">
        <v>2199</v>
      </c>
      <c r="B391" s="1753" t="s">
        <v>14</v>
      </c>
      <c r="C391" s="1753" t="s">
        <v>2935</v>
      </c>
      <c r="D391" s="1753" t="s">
        <v>2936</v>
      </c>
      <c r="E391" s="1753" t="s">
        <v>2937</v>
      </c>
      <c r="F391" s="1753" t="s">
        <v>2938</v>
      </c>
      <c r="G391" s="1753" t="s">
        <v>17</v>
      </c>
      <c r="H391" s="1753" t="s">
        <v>17</v>
      </c>
      <c r="I391" s="1753" t="s">
        <v>2939</v>
      </c>
      <c r="J391" t="s">
        <v>17</v>
      </c>
      <c r="K391" t="s">
        <v>3174</v>
      </c>
      <c r="L391" t="s">
        <v>3175</v>
      </c>
      <c r="M391" t="s">
        <v>3176</v>
      </c>
      <c r="N391" t="s">
        <v>395</v>
      </c>
    </row>
    <row r="392" spans="1:14" ht="11.25" customHeight="1">
      <c r="A392" s="1753" t="s">
        <v>2199</v>
      </c>
      <c r="B392" s="1753" t="s">
        <v>14</v>
      </c>
      <c r="C392" s="1753" t="s">
        <v>2955</v>
      </c>
      <c r="D392" s="1753" t="s">
        <v>2956</v>
      </c>
      <c r="E392" s="1753" t="s">
        <v>2957</v>
      </c>
      <c r="F392" s="1753" t="s">
        <v>2958</v>
      </c>
      <c r="G392" s="1753" t="s">
        <v>2959</v>
      </c>
      <c r="H392" s="1753" t="s">
        <v>17</v>
      </c>
      <c r="I392" s="1753" t="s">
        <v>2510</v>
      </c>
      <c r="J392" t="s">
        <v>17</v>
      </c>
      <c r="K392" t="s">
        <v>3174</v>
      </c>
      <c r="L392" t="s">
        <v>3181</v>
      </c>
      <c r="M392" t="s">
        <v>3182</v>
      </c>
      <c r="N392" t="s">
        <v>395</v>
      </c>
    </row>
    <row r="393" spans="1:14" ht="11.25" customHeight="1">
      <c r="A393" s="1753" t="s">
        <v>2199</v>
      </c>
      <c r="B393" s="1753" t="s">
        <v>14</v>
      </c>
      <c r="C393" s="1753" t="s">
        <v>2960</v>
      </c>
      <c r="D393" s="1753" t="s">
        <v>2961</v>
      </c>
      <c r="E393" s="1753" t="s">
        <v>2962</v>
      </c>
      <c r="F393" s="1753" t="s">
        <v>2539</v>
      </c>
      <c r="G393" s="1753" t="s">
        <v>2963</v>
      </c>
      <c r="H393" s="1753" t="s">
        <v>17</v>
      </c>
      <c r="I393" s="1753" t="s">
        <v>2330</v>
      </c>
      <c r="J393" t="s">
        <v>17</v>
      </c>
      <c r="K393" t="s">
        <v>3174</v>
      </c>
      <c r="L393" t="s">
        <v>3175</v>
      </c>
      <c r="M393" t="s">
        <v>3176</v>
      </c>
      <c r="N393" t="s">
        <v>395</v>
      </c>
    </row>
    <row r="394" spans="1:14" ht="11.25" customHeight="1">
      <c r="A394" s="1753" t="s">
        <v>2199</v>
      </c>
      <c r="B394" s="1753" t="s">
        <v>14</v>
      </c>
      <c r="C394" s="1753" t="s">
        <v>2980</v>
      </c>
      <c r="D394" s="1753" t="s">
        <v>2981</v>
      </c>
      <c r="E394" s="1753" t="s">
        <v>2982</v>
      </c>
      <c r="F394" s="1753" t="s">
        <v>2203</v>
      </c>
      <c r="G394" s="1753" t="s">
        <v>17</v>
      </c>
      <c r="H394" s="1753" t="s">
        <v>17</v>
      </c>
      <c r="I394" s="1753" t="s">
        <v>2983</v>
      </c>
      <c r="J394" t="s">
        <v>17</v>
      </c>
      <c r="K394" t="s">
        <v>3174</v>
      </c>
      <c r="L394" t="s">
        <v>3175</v>
      </c>
      <c r="M394" t="s">
        <v>3176</v>
      </c>
      <c r="N394" t="s">
        <v>395</v>
      </c>
    </row>
    <row r="395" spans="1:14" ht="11.25" customHeight="1">
      <c r="A395" s="1753" t="s">
        <v>2199</v>
      </c>
      <c r="B395" s="1753" t="s">
        <v>14</v>
      </c>
      <c r="C395" s="1753" t="s">
        <v>2984</v>
      </c>
      <c r="D395" s="1753" t="s">
        <v>2985</v>
      </c>
      <c r="E395" s="1753" t="s">
        <v>2986</v>
      </c>
      <c r="F395" s="1753" t="s">
        <v>2259</v>
      </c>
      <c r="G395" s="1753" t="s">
        <v>17</v>
      </c>
      <c r="H395" s="1753" t="s">
        <v>17</v>
      </c>
      <c r="I395" s="1753" t="s">
        <v>2541</v>
      </c>
      <c r="J395" t="s">
        <v>17</v>
      </c>
      <c r="K395" t="s">
        <v>3174</v>
      </c>
      <c r="L395" t="s">
        <v>3175</v>
      </c>
      <c r="M395" t="s">
        <v>3176</v>
      </c>
      <c r="N395" t="s">
        <v>395</v>
      </c>
    </row>
    <row r="396" spans="1:14" ht="11.25" customHeight="1">
      <c r="A396" s="1753" t="s">
        <v>2199</v>
      </c>
      <c r="B396" s="1753" t="s">
        <v>14</v>
      </c>
      <c r="C396" s="1753" t="s">
        <v>2990</v>
      </c>
      <c r="D396" s="1753" t="s">
        <v>2991</v>
      </c>
      <c r="E396" s="1753" t="s">
        <v>2992</v>
      </c>
      <c r="F396" s="1753" t="s">
        <v>2474</v>
      </c>
      <c r="G396" s="1753" t="s">
        <v>17</v>
      </c>
      <c r="H396" s="1753" t="s">
        <v>17</v>
      </c>
      <c r="I396" s="1753" t="s">
        <v>2469</v>
      </c>
      <c r="J396" t="s">
        <v>17</v>
      </c>
      <c r="K396" t="s">
        <v>3174</v>
      </c>
      <c r="L396" t="s">
        <v>3175</v>
      </c>
      <c r="M396" t="s">
        <v>3176</v>
      </c>
      <c r="N396" t="s">
        <v>395</v>
      </c>
    </row>
    <row r="397" spans="1:14" ht="11.25" customHeight="1">
      <c r="A397" s="1753" t="s">
        <v>2199</v>
      </c>
      <c r="B397" s="1753" t="s">
        <v>14</v>
      </c>
      <c r="C397" s="1753" t="s">
        <v>2993</v>
      </c>
      <c r="D397" s="1753" t="s">
        <v>2994</v>
      </c>
      <c r="E397" s="1753" t="s">
        <v>2995</v>
      </c>
      <c r="F397" s="1753" t="s">
        <v>2268</v>
      </c>
      <c r="G397" s="1753" t="s">
        <v>17</v>
      </c>
      <c r="H397" s="1753" t="s">
        <v>17</v>
      </c>
      <c r="I397" s="1753" t="s">
        <v>2996</v>
      </c>
      <c r="J397" t="s">
        <v>17</v>
      </c>
      <c r="K397" t="s">
        <v>3174</v>
      </c>
      <c r="L397" t="s">
        <v>3175</v>
      </c>
      <c r="M397" t="s">
        <v>3176</v>
      </c>
      <c r="N397" t="s">
        <v>395</v>
      </c>
    </row>
    <row r="398" spans="1:14" ht="11.25" customHeight="1">
      <c r="A398" s="1753" t="s">
        <v>2199</v>
      </c>
      <c r="B398" s="1753" t="s">
        <v>14</v>
      </c>
      <c r="C398" s="1753" t="s">
        <v>2997</v>
      </c>
      <c r="D398" s="1753" t="s">
        <v>2998</v>
      </c>
      <c r="E398" s="1753" t="s">
        <v>2999</v>
      </c>
      <c r="F398" s="1753" t="s">
        <v>2922</v>
      </c>
      <c r="G398" s="1753" t="s">
        <v>17</v>
      </c>
      <c r="H398" s="1753" t="s">
        <v>17</v>
      </c>
      <c r="I398" s="1753" t="s">
        <v>2330</v>
      </c>
      <c r="J398" t="s">
        <v>17</v>
      </c>
      <c r="K398" t="s">
        <v>3174</v>
      </c>
      <c r="L398" t="s">
        <v>3175</v>
      </c>
      <c r="M398" t="s">
        <v>3176</v>
      </c>
      <c r="N398" t="s">
        <v>395</v>
      </c>
    </row>
    <row r="399" spans="1:14" ht="11.25" customHeight="1">
      <c r="A399" s="1753" t="s">
        <v>2199</v>
      </c>
      <c r="B399" s="1753" t="s">
        <v>14</v>
      </c>
      <c r="C399" s="1753" t="s">
        <v>3000</v>
      </c>
      <c r="D399" s="1753" t="s">
        <v>3001</v>
      </c>
      <c r="E399" s="1753" t="s">
        <v>3002</v>
      </c>
      <c r="F399" s="1753" t="s">
        <v>2632</v>
      </c>
      <c r="G399" s="1753" t="s">
        <v>17</v>
      </c>
      <c r="H399" s="1753" t="s">
        <v>17</v>
      </c>
      <c r="I399" s="1753" t="s">
        <v>2330</v>
      </c>
      <c r="J399" t="s">
        <v>17</v>
      </c>
      <c r="K399" t="s">
        <v>3174</v>
      </c>
      <c r="L399" t="s">
        <v>3175</v>
      </c>
      <c r="M399" t="s">
        <v>3176</v>
      </c>
      <c r="N399" t="s">
        <v>395</v>
      </c>
    </row>
    <row r="400" spans="1:14" ht="11.25" customHeight="1">
      <c r="A400" s="1753" t="s">
        <v>2199</v>
      </c>
      <c r="B400" s="1753" t="s">
        <v>14</v>
      </c>
      <c r="C400" s="1753" t="s">
        <v>3003</v>
      </c>
      <c r="D400" s="1753" t="s">
        <v>3004</v>
      </c>
      <c r="E400" s="1753" t="s">
        <v>3005</v>
      </c>
      <c r="F400" s="1753" t="s">
        <v>50</v>
      </c>
      <c r="G400" s="1753" t="s">
        <v>17</v>
      </c>
      <c r="H400" s="1753" t="s">
        <v>17</v>
      </c>
      <c r="I400" s="1753" t="s">
        <v>3193</v>
      </c>
      <c r="J400" t="s">
        <v>17</v>
      </c>
      <c r="K400" t="s">
        <v>3179</v>
      </c>
      <c r="L400" t="s">
        <v>1069</v>
      </c>
      <c r="M400" t="s">
        <v>3180</v>
      </c>
      <c r="N400" t="s">
        <v>395</v>
      </c>
    </row>
    <row r="401" spans="1:14" ht="11.25" customHeight="1">
      <c r="A401" s="1753" t="s">
        <v>2199</v>
      </c>
      <c r="B401" s="1753" t="s">
        <v>14</v>
      </c>
      <c r="C401" s="1753" t="s">
        <v>3006</v>
      </c>
      <c r="D401" s="1753" t="s">
        <v>3007</v>
      </c>
      <c r="E401" s="1753" t="s">
        <v>3008</v>
      </c>
      <c r="F401" s="1753" t="s">
        <v>2684</v>
      </c>
      <c r="G401" s="1753" t="s">
        <v>17</v>
      </c>
      <c r="H401" s="1753" t="s">
        <v>17</v>
      </c>
      <c r="I401" s="1753" t="s">
        <v>2330</v>
      </c>
      <c r="J401" t="s">
        <v>17</v>
      </c>
      <c r="K401" t="s">
        <v>3174</v>
      </c>
      <c r="L401" t="s">
        <v>3175</v>
      </c>
      <c r="M401" t="s">
        <v>3176</v>
      </c>
      <c r="N401" t="s">
        <v>395</v>
      </c>
    </row>
    <row r="402" spans="1:14" ht="11.25" customHeight="1">
      <c r="A402" s="1753" t="s">
        <v>2199</v>
      </c>
      <c r="B402" s="1753" t="s">
        <v>14</v>
      </c>
      <c r="C402" s="1753" t="s">
        <v>3009</v>
      </c>
      <c r="D402" s="1753" t="s">
        <v>3010</v>
      </c>
      <c r="E402" s="1753" t="s">
        <v>3011</v>
      </c>
      <c r="F402" s="1753" t="s">
        <v>2732</v>
      </c>
      <c r="G402" s="1753" t="s">
        <v>17</v>
      </c>
      <c r="H402" s="1753" t="s">
        <v>17</v>
      </c>
      <c r="I402" s="1753" t="s">
        <v>2330</v>
      </c>
      <c r="J402" t="s">
        <v>17</v>
      </c>
      <c r="K402" t="s">
        <v>3174</v>
      </c>
      <c r="L402" t="s">
        <v>3175</v>
      </c>
      <c r="M402" t="s">
        <v>3176</v>
      </c>
      <c r="N402" t="s">
        <v>395</v>
      </c>
    </row>
    <row r="403" spans="1:14" ht="11.25" customHeight="1">
      <c r="A403" s="1753" t="s">
        <v>2199</v>
      </c>
      <c r="B403" s="1753" t="s">
        <v>14</v>
      </c>
      <c r="C403" s="1753" t="s">
        <v>3012</v>
      </c>
      <c r="D403" s="1753" t="s">
        <v>3013</v>
      </c>
      <c r="E403" s="1753" t="s">
        <v>3014</v>
      </c>
      <c r="F403" s="1753" t="s">
        <v>3015</v>
      </c>
      <c r="G403" s="1753" t="s">
        <v>3016</v>
      </c>
      <c r="H403" s="1753" t="s">
        <v>17</v>
      </c>
      <c r="I403" s="1753" t="s">
        <v>2784</v>
      </c>
      <c r="J403" t="s">
        <v>17</v>
      </c>
      <c r="K403" t="s">
        <v>3174</v>
      </c>
      <c r="L403" t="s">
        <v>3175</v>
      </c>
      <c r="M403" t="s">
        <v>3176</v>
      </c>
      <c r="N403" t="s">
        <v>395</v>
      </c>
    </row>
    <row r="404" spans="1:14" ht="11.25" customHeight="1">
      <c r="A404" s="1753" t="s">
        <v>2199</v>
      </c>
      <c r="B404" s="1753" t="s">
        <v>14</v>
      </c>
      <c r="C404" s="1753" t="s">
        <v>3017</v>
      </c>
      <c r="D404" s="1753" t="s">
        <v>3018</v>
      </c>
      <c r="E404" s="1753" t="s">
        <v>3019</v>
      </c>
      <c r="F404" s="1753" t="s">
        <v>2268</v>
      </c>
      <c r="G404" s="1753" t="s">
        <v>17</v>
      </c>
      <c r="H404" s="1753" t="s">
        <v>17</v>
      </c>
      <c r="I404" s="1753" t="s">
        <v>2661</v>
      </c>
      <c r="J404" t="s">
        <v>17</v>
      </c>
      <c r="K404" t="s">
        <v>3174</v>
      </c>
      <c r="L404" t="s">
        <v>3175</v>
      </c>
      <c r="M404" t="s">
        <v>3176</v>
      </c>
      <c r="N404" t="s">
        <v>395</v>
      </c>
    </row>
    <row r="405" spans="1:14" ht="11.25" customHeight="1">
      <c r="A405" s="1753" t="s">
        <v>2199</v>
      </c>
      <c r="B405" s="1753" t="s">
        <v>14</v>
      </c>
      <c r="C405" s="1753" t="s">
        <v>3020</v>
      </c>
      <c r="D405" s="1753" t="s">
        <v>3021</v>
      </c>
      <c r="E405" s="1753" t="s">
        <v>3022</v>
      </c>
      <c r="F405" s="1753" t="s">
        <v>3023</v>
      </c>
      <c r="G405" s="1753" t="s">
        <v>17</v>
      </c>
      <c r="H405" s="1753" t="s">
        <v>17</v>
      </c>
      <c r="I405" s="1753" t="s">
        <v>2661</v>
      </c>
      <c r="J405" t="s">
        <v>17</v>
      </c>
      <c r="K405" t="s">
        <v>3174</v>
      </c>
      <c r="L405" t="s">
        <v>3175</v>
      </c>
      <c r="M405" t="s">
        <v>3176</v>
      </c>
      <c r="N405" t="s">
        <v>395</v>
      </c>
    </row>
    <row r="406" spans="1:14" ht="11.25" customHeight="1">
      <c r="A406" s="1753" t="s">
        <v>2199</v>
      </c>
      <c r="B406" s="1753" t="s">
        <v>14</v>
      </c>
      <c r="C406" s="1753" t="s">
        <v>3020</v>
      </c>
      <c r="D406" s="1753" t="s">
        <v>3021</v>
      </c>
      <c r="E406" s="1753" t="s">
        <v>3022</v>
      </c>
      <c r="F406" s="1753" t="s">
        <v>3023</v>
      </c>
      <c r="G406" s="1753" t="s">
        <v>17</v>
      </c>
      <c r="H406" s="1753" t="s">
        <v>17</v>
      </c>
      <c r="I406" s="1753" t="s">
        <v>2330</v>
      </c>
      <c r="J406" t="s">
        <v>17</v>
      </c>
      <c r="K406" t="s">
        <v>3174</v>
      </c>
      <c r="L406" t="s">
        <v>3175</v>
      </c>
      <c r="M406" t="s">
        <v>3176</v>
      </c>
      <c r="N406" t="s">
        <v>395</v>
      </c>
    </row>
    <row r="407" spans="1:14" ht="11.25" customHeight="1">
      <c r="A407" s="1753" t="s">
        <v>2199</v>
      </c>
      <c r="B407" s="1753" t="s">
        <v>14</v>
      </c>
      <c r="C407" s="1753" t="s">
        <v>3030</v>
      </c>
      <c r="D407" s="1753" t="s">
        <v>3031</v>
      </c>
      <c r="E407" s="1753" t="s">
        <v>3032</v>
      </c>
      <c r="F407" s="1753" t="s">
        <v>2255</v>
      </c>
      <c r="G407" s="1753" t="s">
        <v>17</v>
      </c>
      <c r="H407" s="1753" t="s">
        <v>17</v>
      </c>
      <c r="I407" s="1753" t="s">
        <v>2246</v>
      </c>
      <c r="J407" t="s">
        <v>17</v>
      </c>
      <c r="K407" t="s">
        <v>3174</v>
      </c>
      <c r="L407" t="s">
        <v>3175</v>
      </c>
      <c r="M407" t="s">
        <v>3176</v>
      </c>
      <c r="N407" t="s">
        <v>395</v>
      </c>
    </row>
    <row r="408" spans="1:14" ht="11.25" customHeight="1">
      <c r="A408" s="1753" t="s">
        <v>2199</v>
      </c>
      <c r="B408" s="1753" t="s">
        <v>14</v>
      </c>
      <c r="C408" s="1753" t="s">
        <v>3036</v>
      </c>
      <c r="D408" s="1753" t="s">
        <v>3037</v>
      </c>
      <c r="E408" s="1753" t="s">
        <v>3038</v>
      </c>
      <c r="F408" s="1753" t="s">
        <v>2203</v>
      </c>
      <c r="G408" s="1753" t="s">
        <v>17</v>
      </c>
      <c r="H408" s="1753" t="s">
        <v>17</v>
      </c>
      <c r="I408" s="1753" t="s">
        <v>2330</v>
      </c>
      <c r="J408" t="s">
        <v>17</v>
      </c>
      <c r="K408" t="s">
        <v>3174</v>
      </c>
      <c r="L408" t="s">
        <v>3175</v>
      </c>
      <c r="M408" t="s">
        <v>3176</v>
      </c>
      <c r="N408" t="s">
        <v>395</v>
      </c>
    </row>
    <row r="409" spans="1:14" ht="11.25" customHeight="1">
      <c r="A409" s="1753" t="s">
        <v>2199</v>
      </c>
      <c r="B409" s="1753" t="s">
        <v>14</v>
      </c>
      <c r="C409" s="1753" t="s">
        <v>3052</v>
      </c>
      <c r="D409" s="1753" t="s">
        <v>3053</v>
      </c>
      <c r="E409" s="1753" t="s">
        <v>3054</v>
      </c>
      <c r="F409" s="1753" t="s">
        <v>2264</v>
      </c>
      <c r="G409" s="1753" t="s">
        <v>17</v>
      </c>
      <c r="H409" s="1753" t="s">
        <v>17</v>
      </c>
      <c r="I409" s="1753" t="s">
        <v>2657</v>
      </c>
      <c r="J409" t="s">
        <v>17</v>
      </c>
      <c r="K409" t="s">
        <v>3174</v>
      </c>
      <c r="L409" t="s">
        <v>3175</v>
      </c>
      <c r="M409" t="s">
        <v>3176</v>
      </c>
      <c r="N409" t="s">
        <v>395</v>
      </c>
    </row>
    <row r="410" spans="1:14" ht="11.25" customHeight="1">
      <c r="A410" s="1753" t="s">
        <v>2199</v>
      </c>
      <c r="B410" s="1753" t="s">
        <v>14</v>
      </c>
      <c r="C410" s="1753" t="s">
        <v>3055</v>
      </c>
      <c r="D410" s="1753" t="s">
        <v>3056</v>
      </c>
      <c r="E410" s="1753" t="s">
        <v>3057</v>
      </c>
      <c r="F410" s="1753" t="s">
        <v>2203</v>
      </c>
      <c r="G410" s="1753" t="s">
        <v>17</v>
      </c>
      <c r="H410" s="1753" t="s">
        <v>17</v>
      </c>
      <c r="I410" s="1753" t="s">
        <v>2214</v>
      </c>
      <c r="J410" t="s">
        <v>17</v>
      </c>
      <c r="K410" t="s">
        <v>3174</v>
      </c>
      <c r="L410" t="s">
        <v>3175</v>
      </c>
      <c r="M410" t="s">
        <v>3176</v>
      </c>
      <c r="N410" t="s">
        <v>395</v>
      </c>
    </row>
    <row r="411" spans="1:14" ht="11.25" customHeight="1">
      <c r="A411" s="1753" t="s">
        <v>2199</v>
      </c>
      <c r="B411" s="1753" t="s">
        <v>14</v>
      </c>
      <c r="C411" s="1753" t="s">
        <v>3069</v>
      </c>
      <c r="D411" s="1753" t="s">
        <v>3070</v>
      </c>
      <c r="E411" s="1753" t="s">
        <v>3071</v>
      </c>
      <c r="F411" s="1753" t="s">
        <v>2632</v>
      </c>
      <c r="G411" s="1753" t="s">
        <v>17</v>
      </c>
      <c r="H411" s="1753" t="s">
        <v>17</v>
      </c>
      <c r="I411" s="1753" t="s">
        <v>2330</v>
      </c>
      <c r="J411" t="s">
        <v>17</v>
      </c>
      <c r="K411" t="s">
        <v>3174</v>
      </c>
      <c r="L411" t="s">
        <v>3175</v>
      </c>
      <c r="M411" t="s">
        <v>3176</v>
      </c>
      <c r="N411" t="s">
        <v>395</v>
      </c>
    </row>
    <row r="412" spans="1:14" ht="11.25" customHeight="1">
      <c r="A412" s="1753" t="s">
        <v>2199</v>
      </c>
      <c r="B412" s="1753" t="s">
        <v>14</v>
      </c>
      <c r="C412" s="1753" t="s">
        <v>3096</v>
      </c>
      <c r="D412" s="1753" t="s">
        <v>3097</v>
      </c>
      <c r="E412" s="1753" t="s">
        <v>3098</v>
      </c>
      <c r="F412" s="1753" t="s">
        <v>2255</v>
      </c>
      <c r="G412" s="1753" t="s">
        <v>17</v>
      </c>
      <c r="H412" s="1753" t="s">
        <v>17</v>
      </c>
      <c r="I412" s="1753" t="s">
        <v>2246</v>
      </c>
      <c r="J412" t="s">
        <v>17</v>
      </c>
      <c r="K412" t="s">
        <v>3174</v>
      </c>
      <c r="L412" t="s">
        <v>3175</v>
      </c>
      <c r="M412" t="s">
        <v>3176</v>
      </c>
      <c r="N412" t="s">
        <v>395</v>
      </c>
    </row>
    <row r="413" spans="1:14" ht="11.25" customHeight="1">
      <c r="A413" s="1753" t="s">
        <v>2199</v>
      </c>
      <c r="B413" s="1753" t="s">
        <v>14</v>
      </c>
      <c r="C413" s="1753" t="s">
        <v>3102</v>
      </c>
      <c r="D413" s="1753" t="s">
        <v>3103</v>
      </c>
      <c r="E413" s="1753" t="s">
        <v>3104</v>
      </c>
      <c r="F413" s="1753" t="s">
        <v>2380</v>
      </c>
      <c r="G413" s="1753" t="s">
        <v>17</v>
      </c>
      <c r="H413" s="1753" t="s">
        <v>17</v>
      </c>
      <c r="I413" s="1753" t="s">
        <v>3105</v>
      </c>
      <c r="J413" t="s">
        <v>17</v>
      </c>
      <c r="K413" t="s">
        <v>3174</v>
      </c>
      <c r="L413" t="s">
        <v>3189</v>
      </c>
      <c r="M413" t="s">
        <v>3190</v>
      </c>
      <c r="N413" t="s">
        <v>395</v>
      </c>
    </row>
    <row r="414" spans="1:14" ht="11.25" customHeight="1">
      <c r="A414" s="1753" t="s">
        <v>2199</v>
      </c>
      <c r="B414" s="1753" t="s">
        <v>14</v>
      </c>
      <c r="C414" s="1753" t="s">
        <v>3116</v>
      </c>
      <c r="D414" s="1753" t="s">
        <v>3117</v>
      </c>
      <c r="E414" s="1753" t="s">
        <v>3118</v>
      </c>
      <c r="F414" s="1753" t="s">
        <v>2203</v>
      </c>
      <c r="G414" s="1753" t="s">
        <v>17</v>
      </c>
      <c r="H414" s="1753" t="s">
        <v>17</v>
      </c>
      <c r="I414" s="1753" t="s">
        <v>3119</v>
      </c>
      <c r="J414" t="s">
        <v>17</v>
      </c>
      <c r="K414" t="s">
        <v>3174</v>
      </c>
      <c r="L414" t="s">
        <v>3175</v>
      </c>
      <c r="M414" t="s">
        <v>3176</v>
      </c>
      <c r="N414" t="s">
        <v>395</v>
      </c>
    </row>
    <row r="415" spans="1:14" ht="11.25" customHeight="1">
      <c r="A415" s="1753" t="s">
        <v>2199</v>
      </c>
      <c r="B415" s="1753" t="s">
        <v>14</v>
      </c>
      <c r="C415" s="1753" t="s">
        <v>3120</v>
      </c>
      <c r="D415" s="1753" t="s">
        <v>3121</v>
      </c>
      <c r="E415" s="1753" t="s">
        <v>3122</v>
      </c>
      <c r="F415" s="1753" t="s">
        <v>3123</v>
      </c>
      <c r="G415" s="1753" t="s">
        <v>17</v>
      </c>
      <c r="H415" s="1753" t="s">
        <v>17</v>
      </c>
      <c r="I415" s="1753" t="s">
        <v>2563</v>
      </c>
      <c r="J415" t="s">
        <v>17</v>
      </c>
      <c r="K415" t="s">
        <v>3174</v>
      </c>
      <c r="L415" t="s">
        <v>3185</v>
      </c>
      <c r="M415" t="s">
        <v>3186</v>
      </c>
      <c r="N415" t="s">
        <v>395</v>
      </c>
    </row>
    <row r="416" spans="1:14" ht="11.25" customHeight="1">
      <c r="A416" s="1753" t="s">
        <v>2199</v>
      </c>
      <c r="B416" s="1753" t="s">
        <v>14</v>
      </c>
      <c r="C416" s="1753" t="s">
        <v>3120</v>
      </c>
      <c r="D416" s="1753" t="s">
        <v>3121</v>
      </c>
      <c r="E416" s="1753" t="s">
        <v>3122</v>
      </c>
      <c r="F416" s="1753" t="s">
        <v>3123</v>
      </c>
      <c r="G416" s="1753" t="s">
        <v>17</v>
      </c>
      <c r="H416" s="1753" t="s">
        <v>17</v>
      </c>
      <c r="I416" s="1753" t="s">
        <v>2661</v>
      </c>
      <c r="J416" t="s">
        <v>17</v>
      </c>
      <c r="K416" t="s">
        <v>3179</v>
      </c>
      <c r="L416" t="s">
        <v>3187</v>
      </c>
      <c r="M416" t="s">
        <v>3188</v>
      </c>
      <c r="N416" t="s">
        <v>395</v>
      </c>
    </row>
    <row r="417" spans="1:14" ht="11.25" customHeight="1">
      <c r="A417" s="1753" t="s">
        <v>2199</v>
      </c>
      <c r="B417" s="1753" t="s">
        <v>14</v>
      </c>
      <c r="C417" s="1753" t="s">
        <v>3120</v>
      </c>
      <c r="D417" s="1753" t="s">
        <v>3121</v>
      </c>
      <c r="E417" s="1753" t="s">
        <v>3122</v>
      </c>
      <c r="F417" s="1753" t="s">
        <v>3123</v>
      </c>
      <c r="G417" s="1753" t="s">
        <v>17</v>
      </c>
      <c r="H417" s="1753" t="s">
        <v>17</v>
      </c>
      <c r="I417" s="1753" t="s">
        <v>2330</v>
      </c>
      <c r="J417" t="s">
        <v>17</v>
      </c>
      <c r="K417" t="s">
        <v>3174</v>
      </c>
      <c r="L417" t="s">
        <v>3185</v>
      </c>
      <c r="M417" t="s">
        <v>3186</v>
      </c>
      <c r="N417" t="s">
        <v>395</v>
      </c>
    </row>
    <row r="418" spans="1:14" ht="11.25" customHeight="1">
      <c r="A418" s="1753" t="s">
        <v>2199</v>
      </c>
      <c r="B418" s="1753" t="s">
        <v>14</v>
      </c>
      <c r="C418" s="1753" t="s">
        <v>3120</v>
      </c>
      <c r="D418" s="1753" t="s">
        <v>3121</v>
      </c>
      <c r="E418" s="1753" t="s">
        <v>3122</v>
      </c>
      <c r="F418" s="1753" t="s">
        <v>3123</v>
      </c>
      <c r="G418" s="1753" t="s">
        <v>17</v>
      </c>
      <c r="H418" s="1753" t="s">
        <v>17</v>
      </c>
      <c r="I418" s="1753" t="s">
        <v>2330</v>
      </c>
      <c r="J418" t="s">
        <v>17</v>
      </c>
      <c r="K418" t="s">
        <v>3179</v>
      </c>
      <c r="L418" t="s">
        <v>3187</v>
      </c>
      <c r="M418" t="s">
        <v>3188</v>
      </c>
      <c r="N418" t="s">
        <v>395</v>
      </c>
    </row>
    <row r="419" spans="1:14" ht="11.25" customHeight="1">
      <c r="A419" s="1753" t="s">
        <v>2199</v>
      </c>
      <c r="B419" s="1753" t="s">
        <v>14</v>
      </c>
      <c r="C419" s="1753" t="s">
        <v>3134</v>
      </c>
      <c r="D419" s="1753" t="s">
        <v>3135</v>
      </c>
      <c r="E419" s="1753" t="s">
        <v>3136</v>
      </c>
      <c r="F419" s="1753" t="s">
        <v>2259</v>
      </c>
      <c r="G419" s="1753" t="s">
        <v>17</v>
      </c>
      <c r="H419" s="1753" t="s">
        <v>17</v>
      </c>
      <c r="I419" s="1753" t="s">
        <v>2246</v>
      </c>
      <c r="J419" t="s">
        <v>17</v>
      </c>
      <c r="K419" t="s">
        <v>3174</v>
      </c>
      <c r="L419" t="s">
        <v>3175</v>
      </c>
      <c r="M419" t="s">
        <v>3176</v>
      </c>
      <c r="N419" t="s">
        <v>395</v>
      </c>
    </row>
    <row r="420" spans="1:14" ht="11.25" customHeight="1">
      <c r="A420" s="1753" t="s">
        <v>2199</v>
      </c>
      <c r="B420" s="1753" t="s">
        <v>14</v>
      </c>
      <c r="C420" s="1753" t="s">
        <v>3147</v>
      </c>
      <c r="D420" s="1753" t="s">
        <v>3148</v>
      </c>
      <c r="E420" s="1753" t="s">
        <v>3149</v>
      </c>
      <c r="F420" s="1753" t="s">
        <v>2506</v>
      </c>
      <c r="G420" s="1753" t="s">
        <v>17</v>
      </c>
      <c r="H420" s="1753" t="s">
        <v>17</v>
      </c>
      <c r="I420" s="1753" t="s">
        <v>2330</v>
      </c>
      <c r="J420" t="s">
        <v>17</v>
      </c>
      <c r="K420" t="s">
        <v>3174</v>
      </c>
      <c r="L420" t="s">
        <v>3175</v>
      </c>
      <c r="M420" t="s">
        <v>3176</v>
      </c>
      <c r="N420" t="s">
        <v>395</v>
      </c>
    </row>
    <row r="421" spans="1:14" ht="11.25" customHeight="1">
      <c r="A421" s="1753" t="s">
        <v>2199</v>
      </c>
      <c r="B421" s="1753" t="s">
        <v>14</v>
      </c>
      <c r="C421" s="1753" t="s">
        <v>3150</v>
      </c>
      <c r="D421" s="1753" t="s">
        <v>3151</v>
      </c>
      <c r="E421" s="1753" t="s">
        <v>3152</v>
      </c>
      <c r="F421" s="1753" t="s">
        <v>2665</v>
      </c>
      <c r="G421" s="1753" t="s">
        <v>3153</v>
      </c>
      <c r="H421" s="1753" t="s">
        <v>17</v>
      </c>
      <c r="I421" s="1753" t="s">
        <v>2330</v>
      </c>
      <c r="J421" t="s">
        <v>17</v>
      </c>
      <c r="K421" t="s">
        <v>3179</v>
      </c>
      <c r="L421" t="s">
        <v>1069</v>
      </c>
      <c r="M421" t="s">
        <v>3180</v>
      </c>
      <c r="N421" t="s">
        <v>395</v>
      </c>
    </row>
    <row r="422" spans="1:14" ht="11.25" customHeight="1">
      <c r="A422" s="1753" t="s">
        <v>2199</v>
      </c>
      <c r="B422" s="1753" t="s">
        <v>14</v>
      </c>
      <c r="C422" s="1753" t="s">
        <v>3154</v>
      </c>
      <c r="D422" s="1753" t="s">
        <v>3155</v>
      </c>
      <c r="E422" s="1753" t="s">
        <v>3156</v>
      </c>
      <c r="F422" s="1753" t="s">
        <v>3157</v>
      </c>
      <c r="G422" s="1753" t="s">
        <v>17</v>
      </c>
      <c r="H422" s="1753" t="s">
        <v>17</v>
      </c>
      <c r="I422" s="1753" t="s">
        <v>3194</v>
      </c>
      <c r="J422" t="s">
        <v>17</v>
      </c>
      <c r="K422" t="s">
        <v>3174</v>
      </c>
      <c r="L422" t="s">
        <v>3189</v>
      </c>
      <c r="M422" t="s">
        <v>3190</v>
      </c>
      <c r="N422" t="s">
        <v>395</v>
      </c>
    </row>
    <row r="423" spans="1:14" ht="11.25" customHeight="1">
      <c r="A423" s="1753" t="s">
        <v>2199</v>
      </c>
      <c r="B423" s="1753" t="s">
        <v>14</v>
      </c>
      <c r="C423" s="1753" t="s">
        <v>3154</v>
      </c>
      <c r="D423" s="1753" t="s">
        <v>3155</v>
      </c>
      <c r="E423" s="1753" t="s">
        <v>3156</v>
      </c>
      <c r="F423" s="1753" t="s">
        <v>3157</v>
      </c>
      <c r="G423" s="1753" t="s">
        <v>17</v>
      </c>
      <c r="H423" s="1753" t="s">
        <v>17</v>
      </c>
      <c r="I423" s="1753" t="s">
        <v>2330</v>
      </c>
      <c r="J423" t="s">
        <v>17</v>
      </c>
      <c r="K423" t="s">
        <v>3174</v>
      </c>
      <c r="L423" t="s">
        <v>3175</v>
      </c>
      <c r="M423" t="s">
        <v>3176</v>
      </c>
      <c r="N423" t="s">
        <v>395</v>
      </c>
    </row>
    <row r="424" spans="1:14" ht="11.25" customHeight="1">
      <c r="A424" s="1753" t="s">
        <v>2199</v>
      </c>
      <c r="B424" s="1753" t="s">
        <v>14</v>
      </c>
      <c r="C424" s="1753" t="s">
        <v>3195</v>
      </c>
      <c r="D424" s="1753" t="s">
        <v>3196</v>
      </c>
      <c r="E424" s="1753" t="s">
        <v>3197</v>
      </c>
      <c r="F424" s="1753" t="s">
        <v>3198</v>
      </c>
      <c r="G424" s="1753" t="s">
        <v>17</v>
      </c>
      <c r="H424" s="1753" t="s">
        <v>17</v>
      </c>
      <c r="I424" s="1753" t="s">
        <v>3199</v>
      </c>
      <c r="J424" t="s">
        <v>17</v>
      </c>
      <c r="K424" t="s">
        <v>3200</v>
      </c>
      <c r="L424" t="s">
        <v>3201</v>
      </c>
      <c r="M424" t="s">
        <v>3202</v>
      </c>
      <c r="N424" t="s">
        <v>393</v>
      </c>
    </row>
    <row r="425" spans="1:14" ht="11.25" customHeight="1">
      <c r="A425" s="1753" t="s">
        <v>2199</v>
      </c>
      <c r="B425" s="1753" t="s">
        <v>14</v>
      </c>
      <c r="C425" s="1753" t="s">
        <v>3203</v>
      </c>
      <c r="D425" s="1753" t="s">
        <v>3204</v>
      </c>
      <c r="E425" s="1753" t="s">
        <v>3205</v>
      </c>
      <c r="F425" s="1753" t="s">
        <v>2268</v>
      </c>
      <c r="G425" s="1753" t="s">
        <v>17</v>
      </c>
      <c r="H425" s="1753" t="s">
        <v>17</v>
      </c>
      <c r="I425" s="1753" t="s">
        <v>2214</v>
      </c>
      <c r="J425" t="s">
        <v>17</v>
      </c>
      <c r="K425" t="s">
        <v>3200</v>
      </c>
      <c r="L425" t="s">
        <v>3206</v>
      </c>
      <c r="M425" t="s">
        <v>3207</v>
      </c>
      <c r="N425" t="s">
        <v>393</v>
      </c>
    </row>
    <row r="426" spans="1:14" ht="11.25" customHeight="1">
      <c r="A426" s="1753" t="s">
        <v>2199</v>
      </c>
      <c r="B426" s="1753" t="s">
        <v>14</v>
      </c>
      <c r="C426" s="1753" t="s">
        <v>3203</v>
      </c>
      <c r="D426" s="1753" t="s">
        <v>3204</v>
      </c>
      <c r="E426" s="1753" t="s">
        <v>3205</v>
      </c>
      <c r="F426" s="1753" t="s">
        <v>2268</v>
      </c>
      <c r="G426" s="1753" t="s">
        <v>17</v>
      </c>
      <c r="H426" s="1753" t="s">
        <v>17</v>
      </c>
      <c r="I426" s="1753" t="s">
        <v>2214</v>
      </c>
      <c r="J426" t="s">
        <v>17</v>
      </c>
      <c r="K426" t="s">
        <v>3208</v>
      </c>
      <c r="L426" t="s">
        <v>3206</v>
      </c>
      <c r="M426" t="s">
        <v>3207</v>
      </c>
      <c r="N426" t="s">
        <v>393</v>
      </c>
    </row>
    <row r="427" spans="1:14" ht="11.25" customHeight="1">
      <c r="A427" s="1753" t="s">
        <v>2199</v>
      </c>
      <c r="B427" s="1753" t="s">
        <v>14</v>
      </c>
      <c r="C427" s="1753" t="s">
        <v>2224</v>
      </c>
      <c r="D427" s="1753" t="s">
        <v>2225</v>
      </c>
      <c r="E427" s="1753" t="s">
        <v>2226</v>
      </c>
      <c r="F427" s="1753" t="s">
        <v>2227</v>
      </c>
      <c r="G427" s="1753" t="s">
        <v>17</v>
      </c>
      <c r="H427" s="1753" t="s">
        <v>17</v>
      </c>
      <c r="I427" s="1753" t="s">
        <v>2214</v>
      </c>
      <c r="J427" t="s">
        <v>17</v>
      </c>
      <c r="K427" t="s">
        <v>3200</v>
      </c>
      <c r="L427" t="s">
        <v>3206</v>
      </c>
      <c r="M427" t="s">
        <v>3207</v>
      </c>
      <c r="N427" t="s">
        <v>393</v>
      </c>
    </row>
    <row r="428" spans="1:14" ht="11.25" customHeight="1">
      <c r="A428" s="1753" t="s">
        <v>2199</v>
      </c>
      <c r="B428" s="1753" t="s">
        <v>14</v>
      </c>
      <c r="C428" s="1753" t="s">
        <v>2224</v>
      </c>
      <c r="D428" s="1753" t="s">
        <v>2225</v>
      </c>
      <c r="E428" s="1753" t="s">
        <v>2226</v>
      </c>
      <c r="F428" s="1753" t="s">
        <v>2227</v>
      </c>
      <c r="G428" s="1753" t="s">
        <v>17</v>
      </c>
      <c r="H428" s="1753" t="s">
        <v>17</v>
      </c>
      <c r="I428" s="1753" t="s">
        <v>2214</v>
      </c>
      <c r="J428" t="s">
        <v>17</v>
      </c>
      <c r="K428" t="s">
        <v>3208</v>
      </c>
      <c r="L428" t="s">
        <v>3206</v>
      </c>
      <c r="M428" t="s">
        <v>3207</v>
      </c>
      <c r="N428" t="s">
        <v>393</v>
      </c>
    </row>
    <row r="429" spans="1:14" ht="11.25" customHeight="1">
      <c r="A429" s="1753" t="s">
        <v>2199</v>
      </c>
      <c r="B429" s="1753" t="s">
        <v>14</v>
      </c>
      <c r="C429" s="1753" t="s">
        <v>3209</v>
      </c>
      <c r="D429" s="1753" t="s">
        <v>3210</v>
      </c>
      <c r="E429" s="1753" t="s">
        <v>3211</v>
      </c>
      <c r="F429" s="1753" t="s">
        <v>2227</v>
      </c>
      <c r="G429" s="1753" t="s">
        <v>17</v>
      </c>
      <c r="H429" s="1753" t="s">
        <v>17</v>
      </c>
      <c r="I429" s="1753" t="s">
        <v>2492</v>
      </c>
      <c r="J429" t="s">
        <v>17</v>
      </c>
      <c r="K429" t="s">
        <v>3200</v>
      </c>
      <c r="L429" t="s">
        <v>3206</v>
      </c>
      <c r="M429" t="s">
        <v>3207</v>
      </c>
      <c r="N429" t="s">
        <v>393</v>
      </c>
    </row>
    <row r="430" spans="1:14" ht="11.25" customHeight="1">
      <c r="A430" s="1753" t="s">
        <v>2199</v>
      </c>
      <c r="B430" s="1753" t="s">
        <v>14</v>
      </c>
      <c r="C430" s="1753" t="s">
        <v>3209</v>
      </c>
      <c r="D430" s="1753" t="s">
        <v>3210</v>
      </c>
      <c r="E430" s="1753" t="s">
        <v>3211</v>
      </c>
      <c r="F430" s="1753" t="s">
        <v>2227</v>
      </c>
      <c r="G430" s="1753" t="s">
        <v>17</v>
      </c>
      <c r="H430" s="1753" t="s">
        <v>17</v>
      </c>
      <c r="I430" s="1753" t="s">
        <v>2492</v>
      </c>
      <c r="J430" t="s">
        <v>17</v>
      </c>
      <c r="K430" t="s">
        <v>3208</v>
      </c>
      <c r="L430" t="s">
        <v>3206</v>
      </c>
      <c r="M430" t="s">
        <v>3207</v>
      </c>
      <c r="N430" t="s">
        <v>393</v>
      </c>
    </row>
    <row r="431" spans="1:14" ht="11.25" customHeight="1">
      <c r="A431" s="1753" t="s">
        <v>2199</v>
      </c>
      <c r="B431" s="1753" t="s">
        <v>14</v>
      </c>
      <c r="C431" s="1753" t="s">
        <v>2242</v>
      </c>
      <c r="D431" s="1753" t="s">
        <v>2243</v>
      </c>
      <c r="E431" s="1753" t="s">
        <v>2244</v>
      </c>
      <c r="F431" s="1753" t="s">
        <v>2245</v>
      </c>
      <c r="G431" s="1753" t="s">
        <v>17</v>
      </c>
      <c r="H431" s="1753" t="s">
        <v>17</v>
      </c>
      <c r="I431" s="1753" t="s">
        <v>2246</v>
      </c>
      <c r="J431" t="s">
        <v>17</v>
      </c>
      <c r="K431" t="s">
        <v>3200</v>
      </c>
      <c r="L431" t="s">
        <v>3212</v>
      </c>
      <c r="M431" t="s">
        <v>3213</v>
      </c>
      <c r="N431" t="s">
        <v>393</v>
      </c>
    </row>
    <row r="432" spans="1:14" ht="11.25" customHeight="1">
      <c r="A432" s="1753" t="s">
        <v>2199</v>
      </c>
      <c r="B432" s="1753" t="s">
        <v>14</v>
      </c>
      <c r="C432" s="1753" t="s">
        <v>2242</v>
      </c>
      <c r="D432" s="1753" t="s">
        <v>2243</v>
      </c>
      <c r="E432" s="1753" t="s">
        <v>2244</v>
      </c>
      <c r="F432" s="1753" t="s">
        <v>2245</v>
      </c>
      <c r="G432" s="1753" t="s">
        <v>17</v>
      </c>
      <c r="H432" s="1753" t="s">
        <v>17</v>
      </c>
      <c r="I432" s="1753" t="s">
        <v>2246</v>
      </c>
      <c r="J432" t="s">
        <v>17</v>
      </c>
      <c r="K432" t="s">
        <v>3208</v>
      </c>
      <c r="L432" t="s">
        <v>3212</v>
      </c>
      <c r="M432" t="s">
        <v>3213</v>
      </c>
      <c r="N432" t="s">
        <v>393</v>
      </c>
    </row>
    <row r="433" spans="1:14" ht="11.25" customHeight="1">
      <c r="A433" s="1753" t="s">
        <v>2199</v>
      </c>
      <c r="B433" s="1753" t="s">
        <v>14</v>
      </c>
      <c r="C433" s="1753" t="s">
        <v>3214</v>
      </c>
      <c r="D433" s="1753" t="s">
        <v>3215</v>
      </c>
      <c r="E433" s="1753" t="s">
        <v>3216</v>
      </c>
      <c r="F433" s="1753" t="s">
        <v>2259</v>
      </c>
      <c r="G433" s="1753" t="s">
        <v>17</v>
      </c>
      <c r="H433" s="1753" t="s">
        <v>17</v>
      </c>
      <c r="I433" s="1753" t="s">
        <v>2214</v>
      </c>
      <c r="J433" t="s">
        <v>17</v>
      </c>
      <c r="K433" t="s">
        <v>3200</v>
      </c>
      <c r="L433" t="s">
        <v>3206</v>
      </c>
      <c r="M433" t="s">
        <v>3207</v>
      </c>
      <c r="N433" t="s">
        <v>393</v>
      </c>
    </row>
    <row r="434" spans="1:14" ht="11.25" customHeight="1">
      <c r="A434" s="1753" t="s">
        <v>2199</v>
      </c>
      <c r="B434" s="1753" t="s">
        <v>14</v>
      </c>
      <c r="C434" s="1753" t="s">
        <v>3214</v>
      </c>
      <c r="D434" s="1753" t="s">
        <v>3215</v>
      </c>
      <c r="E434" s="1753" t="s">
        <v>3216</v>
      </c>
      <c r="F434" s="1753" t="s">
        <v>2259</v>
      </c>
      <c r="G434" s="1753" t="s">
        <v>17</v>
      </c>
      <c r="H434" s="1753" t="s">
        <v>17</v>
      </c>
      <c r="I434" s="1753" t="s">
        <v>2214</v>
      </c>
      <c r="J434" t="s">
        <v>17</v>
      </c>
      <c r="K434" t="s">
        <v>3208</v>
      </c>
      <c r="L434" t="s">
        <v>3206</v>
      </c>
      <c r="M434" t="s">
        <v>3207</v>
      </c>
      <c r="N434" t="s">
        <v>393</v>
      </c>
    </row>
    <row r="435" spans="1:14" ht="11.25" customHeight="1">
      <c r="A435" s="1753" t="s">
        <v>2199</v>
      </c>
      <c r="B435" s="1753" t="s">
        <v>14</v>
      </c>
      <c r="C435" s="1753" t="s">
        <v>2256</v>
      </c>
      <c r="D435" s="1753" t="s">
        <v>2257</v>
      </c>
      <c r="E435" s="1753" t="s">
        <v>2258</v>
      </c>
      <c r="F435" s="1753" t="s">
        <v>2259</v>
      </c>
      <c r="G435" s="1753" t="s">
        <v>17</v>
      </c>
      <c r="H435" s="1753" t="s">
        <v>17</v>
      </c>
      <c r="I435" s="1753" t="s">
        <v>3217</v>
      </c>
      <c r="J435" t="s">
        <v>17</v>
      </c>
      <c r="K435" t="s">
        <v>3200</v>
      </c>
      <c r="L435" t="s">
        <v>3212</v>
      </c>
      <c r="M435" t="s">
        <v>3213</v>
      </c>
      <c r="N435" t="s">
        <v>393</v>
      </c>
    </row>
    <row r="436" spans="1:14" ht="11.25" customHeight="1">
      <c r="A436" s="1753" t="s">
        <v>2199</v>
      </c>
      <c r="B436" s="1753" t="s">
        <v>14</v>
      </c>
      <c r="C436" s="1753" t="s">
        <v>2256</v>
      </c>
      <c r="D436" s="1753" t="s">
        <v>2257</v>
      </c>
      <c r="E436" s="1753" t="s">
        <v>2258</v>
      </c>
      <c r="F436" s="1753" t="s">
        <v>2259</v>
      </c>
      <c r="G436" s="1753" t="s">
        <v>17</v>
      </c>
      <c r="H436" s="1753" t="s">
        <v>17</v>
      </c>
      <c r="I436" s="1753" t="s">
        <v>3217</v>
      </c>
      <c r="J436" t="s">
        <v>17</v>
      </c>
      <c r="K436" t="s">
        <v>3208</v>
      </c>
      <c r="L436" t="s">
        <v>3212</v>
      </c>
      <c r="M436" t="s">
        <v>3213</v>
      </c>
      <c r="N436" t="s">
        <v>393</v>
      </c>
    </row>
    <row r="437" spans="1:14" ht="11.25" customHeight="1">
      <c r="A437" s="1753" t="s">
        <v>2199</v>
      </c>
      <c r="B437" s="1753" t="s">
        <v>14</v>
      </c>
      <c r="C437" s="1753" t="s">
        <v>2265</v>
      </c>
      <c r="D437" s="1753" t="s">
        <v>2266</v>
      </c>
      <c r="E437" s="1753" t="s">
        <v>2267</v>
      </c>
      <c r="F437" s="1753" t="s">
        <v>2268</v>
      </c>
      <c r="G437" s="1753" t="s">
        <v>17</v>
      </c>
      <c r="H437" s="1753" t="s">
        <v>17</v>
      </c>
      <c r="I437" s="1753" t="s">
        <v>2269</v>
      </c>
      <c r="J437" t="s">
        <v>17</v>
      </c>
      <c r="K437" t="s">
        <v>3200</v>
      </c>
      <c r="L437" t="s">
        <v>3206</v>
      </c>
      <c r="M437" t="s">
        <v>3207</v>
      </c>
      <c r="N437" t="s">
        <v>393</v>
      </c>
    </row>
    <row r="438" spans="1:14" ht="11.25" customHeight="1">
      <c r="A438" s="1753" t="s">
        <v>2199</v>
      </c>
      <c r="B438" s="1753" t="s">
        <v>14</v>
      </c>
      <c r="C438" s="1753" t="s">
        <v>2265</v>
      </c>
      <c r="D438" s="1753" t="s">
        <v>2266</v>
      </c>
      <c r="E438" s="1753" t="s">
        <v>2267</v>
      </c>
      <c r="F438" s="1753" t="s">
        <v>2268</v>
      </c>
      <c r="G438" s="1753" t="s">
        <v>17</v>
      </c>
      <c r="H438" s="1753" t="s">
        <v>17</v>
      </c>
      <c r="I438" s="1753" t="s">
        <v>2269</v>
      </c>
      <c r="J438" t="s">
        <v>17</v>
      </c>
      <c r="K438" t="s">
        <v>3208</v>
      </c>
      <c r="L438" t="s">
        <v>3206</v>
      </c>
      <c r="M438" t="s">
        <v>3207</v>
      </c>
      <c r="N438" t="s">
        <v>393</v>
      </c>
    </row>
    <row r="439" spans="1:14" ht="11.25" customHeight="1">
      <c r="A439" s="1753" t="s">
        <v>2199</v>
      </c>
      <c r="B439" s="1753" t="s">
        <v>14</v>
      </c>
      <c r="C439" s="1753" t="s">
        <v>3218</v>
      </c>
      <c r="D439" s="1753" t="s">
        <v>3219</v>
      </c>
      <c r="E439" s="1753" t="s">
        <v>3220</v>
      </c>
      <c r="F439" s="1753" t="s">
        <v>2259</v>
      </c>
      <c r="G439" s="1753" t="s">
        <v>17</v>
      </c>
      <c r="H439" s="1753" t="s">
        <v>17</v>
      </c>
      <c r="I439" s="1753" t="s">
        <v>2563</v>
      </c>
      <c r="J439" t="s">
        <v>17</v>
      </c>
      <c r="K439" t="s">
        <v>3200</v>
      </c>
      <c r="L439" t="s">
        <v>3221</v>
      </c>
      <c r="M439" t="s">
        <v>3222</v>
      </c>
      <c r="N439" t="s">
        <v>393</v>
      </c>
    </row>
    <row r="440" spans="1:14" ht="11.25" customHeight="1">
      <c r="A440" s="1753" t="s">
        <v>2199</v>
      </c>
      <c r="B440" s="1753" t="s">
        <v>14</v>
      </c>
      <c r="C440" s="1753" t="s">
        <v>3223</v>
      </c>
      <c r="D440" s="1753" t="s">
        <v>3224</v>
      </c>
      <c r="E440" s="1753" t="s">
        <v>3225</v>
      </c>
      <c r="F440" s="1753" t="s">
        <v>2268</v>
      </c>
      <c r="G440" s="1753" t="s">
        <v>17</v>
      </c>
      <c r="H440" s="1753" t="s">
        <v>17</v>
      </c>
      <c r="I440" s="1753" t="s">
        <v>3191</v>
      </c>
      <c r="J440" t="s">
        <v>17</v>
      </c>
      <c r="K440" t="s">
        <v>3200</v>
      </c>
      <c r="L440" t="s">
        <v>3206</v>
      </c>
      <c r="M440" t="s">
        <v>3207</v>
      </c>
      <c r="N440" t="s">
        <v>393</v>
      </c>
    </row>
    <row r="441" spans="1:14" ht="11.25" customHeight="1">
      <c r="A441" s="1753" t="s">
        <v>2199</v>
      </c>
      <c r="B441" s="1753" t="s">
        <v>14</v>
      </c>
      <c r="C441" s="1753" t="s">
        <v>3223</v>
      </c>
      <c r="D441" s="1753" t="s">
        <v>3224</v>
      </c>
      <c r="E441" s="1753" t="s">
        <v>3225</v>
      </c>
      <c r="F441" s="1753" t="s">
        <v>2268</v>
      </c>
      <c r="G441" s="1753" t="s">
        <v>17</v>
      </c>
      <c r="H441" s="1753" t="s">
        <v>17</v>
      </c>
      <c r="I441" s="1753" t="s">
        <v>3191</v>
      </c>
      <c r="J441" t="s">
        <v>17</v>
      </c>
      <c r="K441" t="s">
        <v>3208</v>
      </c>
      <c r="L441" t="s">
        <v>3206</v>
      </c>
      <c r="M441" t="s">
        <v>3207</v>
      </c>
      <c r="N441" t="s">
        <v>393</v>
      </c>
    </row>
    <row r="442" spans="1:14" ht="11.25" customHeight="1">
      <c r="A442" s="1753" t="s">
        <v>2199</v>
      </c>
      <c r="B442" s="1753" t="s">
        <v>14</v>
      </c>
      <c r="C442" s="1753" t="s">
        <v>2298</v>
      </c>
      <c r="D442" s="1753" t="s">
        <v>2299</v>
      </c>
      <c r="E442" s="1753" t="s">
        <v>2300</v>
      </c>
      <c r="F442" s="1753" t="s">
        <v>2301</v>
      </c>
      <c r="G442" s="1753" t="s">
        <v>17</v>
      </c>
      <c r="H442" s="1753" t="s">
        <v>17</v>
      </c>
      <c r="I442" s="1753" t="s">
        <v>3226</v>
      </c>
      <c r="J442" t="s">
        <v>17</v>
      </c>
      <c r="K442" t="s">
        <v>3200</v>
      </c>
      <c r="L442" t="s">
        <v>3227</v>
      </c>
      <c r="M442" t="s">
        <v>3228</v>
      </c>
      <c r="N442" t="s">
        <v>393</v>
      </c>
    </row>
    <row r="443" spans="1:14" ht="11.25" customHeight="1">
      <c r="A443" s="1753" t="s">
        <v>2199</v>
      </c>
      <c r="B443" s="1753" t="s">
        <v>14</v>
      </c>
      <c r="C443" s="1753" t="s">
        <v>3229</v>
      </c>
      <c r="D443" s="1753" t="s">
        <v>3230</v>
      </c>
      <c r="E443" s="1753" t="s">
        <v>3231</v>
      </c>
      <c r="F443" s="1753" t="s">
        <v>2213</v>
      </c>
      <c r="G443" s="1753" t="s">
        <v>17</v>
      </c>
      <c r="H443" s="1753" t="s">
        <v>17</v>
      </c>
      <c r="I443" s="1753" t="s">
        <v>2214</v>
      </c>
      <c r="J443" t="s">
        <v>17</v>
      </c>
      <c r="K443" t="s">
        <v>3200</v>
      </c>
      <c r="L443" t="s">
        <v>3201</v>
      </c>
      <c r="M443" t="s">
        <v>3202</v>
      </c>
      <c r="N443" t="s">
        <v>393</v>
      </c>
    </row>
    <row r="444" spans="1:14" ht="11.25" customHeight="1">
      <c r="A444" s="1753" t="s">
        <v>2199</v>
      </c>
      <c r="B444" s="1753" t="s">
        <v>14</v>
      </c>
      <c r="C444" s="1753" t="s">
        <v>3229</v>
      </c>
      <c r="D444" s="1753" t="s">
        <v>3230</v>
      </c>
      <c r="E444" s="1753" t="s">
        <v>3231</v>
      </c>
      <c r="F444" s="1753" t="s">
        <v>2213</v>
      </c>
      <c r="G444" s="1753" t="s">
        <v>17</v>
      </c>
      <c r="H444" s="1753" t="s">
        <v>17</v>
      </c>
      <c r="I444" s="1753" t="s">
        <v>2330</v>
      </c>
      <c r="J444" t="s">
        <v>17</v>
      </c>
      <c r="K444" t="s">
        <v>3200</v>
      </c>
      <c r="L444" t="s">
        <v>3232</v>
      </c>
      <c r="M444" t="s">
        <v>3233</v>
      </c>
      <c r="N444" t="s">
        <v>393</v>
      </c>
    </row>
    <row r="445" spans="1:14" ht="11.25" customHeight="1">
      <c r="A445" s="1753" t="s">
        <v>2199</v>
      </c>
      <c r="B445" s="1753" t="s">
        <v>14</v>
      </c>
      <c r="C445" s="1753" t="s">
        <v>3229</v>
      </c>
      <c r="D445" s="1753" t="s">
        <v>3230</v>
      </c>
      <c r="E445" s="1753" t="s">
        <v>3231</v>
      </c>
      <c r="F445" s="1753" t="s">
        <v>2213</v>
      </c>
      <c r="G445" s="1753" t="s">
        <v>17</v>
      </c>
      <c r="H445" s="1753" t="s">
        <v>17</v>
      </c>
      <c r="I445" s="1753" t="s">
        <v>2330</v>
      </c>
      <c r="J445" t="s">
        <v>17</v>
      </c>
      <c r="K445" t="s">
        <v>3208</v>
      </c>
      <c r="L445" t="s">
        <v>3232</v>
      </c>
      <c r="M445" t="s">
        <v>3233</v>
      </c>
      <c r="N445" t="s">
        <v>393</v>
      </c>
    </row>
    <row r="446" spans="1:14" ht="11.25" customHeight="1">
      <c r="A446" s="1753" t="s">
        <v>2199</v>
      </c>
      <c r="B446" s="1753" t="s">
        <v>14</v>
      </c>
      <c r="C446" s="1753" t="s">
        <v>2316</v>
      </c>
      <c r="D446" s="1753" t="s">
        <v>2317</v>
      </c>
      <c r="E446" s="1753" t="s">
        <v>2318</v>
      </c>
      <c r="F446" s="1753" t="s">
        <v>2319</v>
      </c>
      <c r="G446" s="1753" t="s">
        <v>17</v>
      </c>
      <c r="H446" s="1753" t="s">
        <v>17</v>
      </c>
      <c r="I446" s="1753" t="s">
        <v>2246</v>
      </c>
      <c r="J446" t="s">
        <v>17</v>
      </c>
      <c r="K446" t="s">
        <v>3200</v>
      </c>
      <c r="L446" t="s">
        <v>3206</v>
      </c>
      <c r="M446" t="s">
        <v>3207</v>
      </c>
      <c r="N446" t="s">
        <v>393</v>
      </c>
    </row>
    <row r="447" spans="1:14" ht="11.25" customHeight="1">
      <c r="A447" s="1753" t="s">
        <v>2199</v>
      </c>
      <c r="B447" s="1753" t="s">
        <v>14</v>
      </c>
      <c r="C447" s="1753" t="s">
        <v>2316</v>
      </c>
      <c r="D447" s="1753" t="s">
        <v>2317</v>
      </c>
      <c r="E447" s="1753" t="s">
        <v>2318</v>
      </c>
      <c r="F447" s="1753" t="s">
        <v>2319</v>
      </c>
      <c r="G447" s="1753" t="s">
        <v>17</v>
      </c>
      <c r="H447" s="1753" t="s">
        <v>17</v>
      </c>
      <c r="I447" s="1753" t="s">
        <v>2246</v>
      </c>
      <c r="J447" t="s">
        <v>17</v>
      </c>
      <c r="K447" t="s">
        <v>3208</v>
      </c>
      <c r="L447" t="s">
        <v>3206</v>
      </c>
      <c r="M447" t="s">
        <v>3207</v>
      </c>
      <c r="N447" t="s">
        <v>393</v>
      </c>
    </row>
    <row r="448" spans="1:14" ht="11.25" customHeight="1">
      <c r="A448" s="1753" t="s">
        <v>2199</v>
      </c>
      <c r="B448" s="1753" t="s">
        <v>14</v>
      </c>
      <c r="C448" s="1753" t="s">
        <v>2331</v>
      </c>
      <c r="D448" s="1753" t="s">
        <v>2332</v>
      </c>
      <c r="E448" s="1753" t="s">
        <v>2318</v>
      </c>
      <c r="F448" s="1753" t="s">
        <v>2333</v>
      </c>
      <c r="G448" s="1753" t="s">
        <v>17</v>
      </c>
      <c r="H448" s="1753" t="s">
        <v>17</v>
      </c>
      <c r="I448" s="1753" t="s">
        <v>2330</v>
      </c>
      <c r="J448" t="s">
        <v>17</v>
      </c>
      <c r="K448" t="s">
        <v>3200</v>
      </c>
      <c r="L448" t="s">
        <v>3206</v>
      </c>
      <c r="M448" t="s">
        <v>3207</v>
      </c>
      <c r="N448" t="s">
        <v>393</v>
      </c>
    </row>
    <row r="449" spans="1:14" ht="11.25" customHeight="1">
      <c r="A449" s="1753" t="s">
        <v>2199</v>
      </c>
      <c r="B449" s="1753" t="s">
        <v>14</v>
      </c>
      <c r="C449" s="1753" t="s">
        <v>2331</v>
      </c>
      <c r="D449" s="1753" t="s">
        <v>2332</v>
      </c>
      <c r="E449" s="1753" t="s">
        <v>2318</v>
      </c>
      <c r="F449" s="1753" t="s">
        <v>2333</v>
      </c>
      <c r="G449" s="1753" t="s">
        <v>17</v>
      </c>
      <c r="H449" s="1753" t="s">
        <v>17</v>
      </c>
      <c r="I449" s="1753" t="s">
        <v>2330</v>
      </c>
      <c r="J449" t="s">
        <v>17</v>
      </c>
      <c r="K449" t="s">
        <v>3208</v>
      </c>
      <c r="L449" t="s">
        <v>3206</v>
      </c>
      <c r="M449" t="s">
        <v>3207</v>
      </c>
      <c r="N449" t="s">
        <v>393</v>
      </c>
    </row>
    <row r="450" spans="1:14" ht="11.25" customHeight="1">
      <c r="A450" s="1753" t="s">
        <v>2199</v>
      </c>
      <c r="B450" s="1753" t="s">
        <v>14</v>
      </c>
      <c r="C450" s="1753" t="s">
        <v>2338</v>
      </c>
      <c r="D450" s="1753" t="s">
        <v>2339</v>
      </c>
      <c r="E450" s="1753" t="s">
        <v>2318</v>
      </c>
      <c r="F450" s="1753" t="s">
        <v>2340</v>
      </c>
      <c r="G450" s="1753" t="s">
        <v>17</v>
      </c>
      <c r="H450" s="1753" t="s">
        <v>17</v>
      </c>
      <c r="I450" s="1753" t="s">
        <v>2330</v>
      </c>
      <c r="J450" t="s">
        <v>17</v>
      </c>
      <c r="K450" t="s">
        <v>3200</v>
      </c>
      <c r="L450" t="s">
        <v>3206</v>
      </c>
      <c r="M450" t="s">
        <v>3207</v>
      </c>
      <c r="N450" t="s">
        <v>393</v>
      </c>
    </row>
    <row r="451" spans="1:14" ht="11.25" customHeight="1">
      <c r="A451" s="1753" t="s">
        <v>2199</v>
      </c>
      <c r="B451" s="1753" t="s">
        <v>14</v>
      </c>
      <c r="C451" s="1753" t="s">
        <v>2338</v>
      </c>
      <c r="D451" s="1753" t="s">
        <v>2339</v>
      </c>
      <c r="E451" s="1753" t="s">
        <v>2318</v>
      </c>
      <c r="F451" s="1753" t="s">
        <v>2340</v>
      </c>
      <c r="G451" s="1753" t="s">
        <v>17</v>
      </c>
      <c r="H451" s="1753" t="s">
        <v>17</v>
      </c>
      <c r="I451" s="1753" t="s">
        <v>2330</v>
      </c>
      <c r="J451" t="s">
        <v>17</v>
      </c>
      <c r="K451" t="s">
        <v>3208</v>
      </c>
      <c r="L451" t="s">
        <v>3206</v>
      </c>
      <c r="M451" t="s">
        <v>3207</v>
      </c>
      <c r="N451" t="s">
        <v>393</v>
      </c>
    </row>
    <row r="452" spans="1:14" ht="11.25" customHeight="1">
      <c r="A452" s="1753" t="s">
        <v>2199</v>
      </c>
      <c r="B452" s="1753" t="s">
        <v>14</v>
      </c>
      <c r="C452" s="1753" t="s">
        <v>3234</v>
      </c>
      <c r="D452" s="1753" t="s">
        <v>3235</v>
      </c>
      <c r="E452" s="1753" t="s">
        <v>3236</v>
      </c>
      <c r="F452" s="1753" t="s">
        <v>2245</v>
      </c>
      <c r="G452" s="1753" t="s">
        <v>17</v>
      </c>
      <c r="H452" s="1753" t="s">
        <v>17</v>
      </c>
      <c r="I452" s="1753" t="s">
        <v>2246</v>
      </c>
      <c r="J452" t="s">
        <v>17</v>
      </c>
      <c r="K452" t="s">
        <v>3200</v>
      </c>
      <c r="L452" t="s">
        <v>3206</v>
      </c>
      <c r="M452" t="s">
        <v>3207</v>
      </c>
      <c r="N452" t="s">
        <v>393</v>
      </c>
    </row>
    <row r="453" spans="1:14" ht="11.25" customHeight="1">
      <c r="A453" s="1753" t="s">
        <v>2199</v>
      </c>
      <c r="B453" s="1753" t="s">
        <v>14</v>
      </c>
      <c r="C453" s="1753" t="s">
        <v>3234</v>
      </c>
      <c r="D453" s="1753" t="s">
        <v>3235</v>
      </c>
      <c r="E453" s="1753" t="s">
        <v>3236</v>
      </c>
      <c r="F453" s="1753" t="s">
        <v>2245</v>
      </c>
      <c r="G453" s="1753" t="s">
        <v>17</v>
      </c>
      <c r="H453" s="1753" t="s">
        <v>17</v>
      </c>
      <c r="I453" s="1753" t="s">
        <v>2246</v>
      </c>
      <c r="J453" t="s">
        <v>17</v>
      </c>
      <c r="K453" t="s">
        <v>3208</v>
      </c>
      <c r="L453" t="s">
        <v>3206</v>
      </c>
      <c r="M453" t="s">
        <v>3207</v>
      </c>
      <c r="N453" t="s">
        <v>393</v>
      </c>
    </row>
    <row r="454" spans="1:14" ht="11.25" customHeight="1">
      <c r="A454" s="1753" t="s">
        <v>2199</v>
      </c>
      <c r="B454" s="1753" t="s">
        <v>14</v>
      </c>
      <c r="C454" s="1753" t="s">
        <v>3237</v>
      </c>
      <c r="D454" s="1753" t="s">
        <v>3238</v>
      </c>
      <c r="E454" s="1753" t="s">
        <v>3239</v>
      </c>
      <c r="F454" s="1753" t="s">
        <v>3240</v>
      </c>
      <c r="G454" s="1753" t="s">
        <v>3241</v>
      </c>
      <c r="H454" s="1753" t="s">
        <v>17</v>
      </c>
      <c r="I454" s="1753" t="s">
        <v>2330</v>
      </c>
      <c r="J454" t="s">
        <v>17</v>
      </c>
      <c r="K454" t="s">
        <v>3200</v>
      </c>
      <c r="L454" t="s">
        <v>3201</v>
      </c>
      <c r="M454" t="s">
        <v>3202</v>
      </c>
      <c r="N454" t="s">
        <v>393</v>
      </c>
    </row>
    <row r="455" spans="1:14" ht="11.25" customHeight="1">
      <c r="A455" s="1753" t="s">
        <v>2199</v>
      </c>
      <c r="B455" s="1753" t="s">
        <v>14</v>
      </c>
      <c r="C455" s="1753" t="s">
        <v>2355</v>
      </c>
      <c r="D455" s="1753" t="s">
        <v>2356</v>
      </c>
      <c r="E455" s="1753" t="s">
        <v>2357</v>
      </c>
      <c r="F455" s="1753" t="s">
        <v>2218</v>
      </c>
      <c r="G455" s="1753" t="s">
        <v>17</v>
      </c>
      <c r="H455" s="1753" t="s">
        <v>17</v>
      </c>
      <c r="I455" s="1753" t="s">
        <v>2464</v>
      </c>
      <c r="J455" t="s">
        <v>17</v>
      </c>
      <c r="K455" t="s">
        <v>3200</v>
      </c>
      <c r="L455" t="s">
        <v>3212</v>
      </c>
      <c r="M455" t="s">
        <v>3213</v>
      </c>
      <c r="N455" t="s">
        <v>393</v>
      </c>
    </row>
    <row r="456" spans="1:14" ht="11.25" customHeight="1">
      <c r="A456" s="1753" t="s">
        <v>2199</v>
      </c>
      <c r="B456" s="1753" t="s">
        <v>14</v>
      </c>
      <c r="C456" s="1753" t="s">
        <v>2355</v>
      </c>
      <c r="D456" s="1753" t="s">
        <v>2356</v>
      </c>
      <c r="E456" s="1753" t="s">
        <v>2357</v>
      </c>
      <c r="F456" s="1753" t="s">
        <v>2218</v>
      </c>
      <c r="G456" s="1753" t="s">
        <v>17</v>
      </c>
      <c r="H456" s="1753" t="s">
        <v>17</v>
      </c>
      <c r="I456" s="1753" t="s">
        <v>2464</v>
      </c>
      <c r="J456" t="s">
        <v>17</v>
      </c>
      <c r="K456" t="s">
        <v>3208</v>
      </c>
      <c r="L456" t="s">
        <v>3212</v>
      </c>
      <c r="M456" t="s">
        <v>3213</v>
      </c>
      <c r="N456" t="s">
        <v>393</v>
      </c>
    </row>
    <row r="457" spans="1:14" ht="11.25" customHeight="1">
      <c r="A457" s="1753" t="s">
        <v>2199</v>
      </c>
      <c r="B457" s="1753" t="s">
        <v>14</v>
      </c>
      <c r="C457" s="1753" t="s">
        <v>3242</v>
      </c>
      <c r="D457" s="1753" t="s">
        <v>3243</v>
      </c>
      <c r="E457" s="1753" t="s">
        <v>3244</v>
      </c>
      <c r="F457" s="1753" t="s">
        <v>2203</v>
      </c>
      <c r="G457" s="1753" t="s">
        <v>17</v>
      </c>
      <c r="H457" s="1753" t="s">
        <v>17</v>
      </c>
      <c r="I457" s="1753" t="s">
        <v>2661</v>
      </c>
      <c r="J457" t="s">
        <v>17</v>
      </c>
      <c r="K457" t="s">
        <v>3200</v>
      </c>
      <c r="L457" t="s">
        <v>3206</v>
      </c>
      <c r="M457" t="s">
        <v>3207</v>
      </c>
      <c r="N457" t="s">
        <v>393</v>
      </c>
    </row>
    <row r="458" spans="1:14" ht="11.25" customHeight="1">
      <c r="A458" s="1753" t="s">
        <v>2199</v>
      </c>
      <c r="B458" s="1753" t="s">
        <v>14</v>
      </c>
      <c r="C458" s="1753" t="s">
        <v>3242</v>
      </c>
      <c r="D458" s="1753" t="s">
        <v>3243</v>
      </c>
      <c r="E458" s="1753" t="s">
        <v>3244</v>
      </c>
      <c r="F458" s="1753" t="s">
        <v>2203</v>
      </c>
      <c r="G458" s="1753" t="s">
        <v>17</v>
      </c>
      <c r="H458" s="1753" t="s">
        <v>17</v>
      </c>
      <c r="I458" s="1753" t="s">
        <v>2661</v>
      </c>
      <c r="J458" t="s">
        <v>17</v>
      </c>
      <c r="K458" t="s">
        <v>3208</v>
      </c>
      <c r="L458" t="s">
        <v>3206</v>
      </c>
      <c r="M458" t="s">
        <v>3207</v>
      </c>
      <c r="N458" t="s">
        <v>393</v>
      </c>
    </row>
    <row r="459" spans="1:14" ht="11.25" customHeight="1">
      <c r="A459" s="1753" t="s">
        <v>2199</v>
      </c>
      <c r="B459" s="1753" t="s">
        <v>14</v>
      </c>
      <c r="C459" s="1753" t="s">
        <v>3245</v>
      </c>
      <c r="D459" s="1753" t="s">
        <v>3246</v>
      </c>
      <c r="E459" s="1753" t="s">
        <v>3247</v>
      </c>
      <c r="F459" s="1753" t="s">
        <v>2227</v>
      </c>
      <c r="G459" s="1753" t="s">
        <v>17</v>
      </c>
      <c r="H459" s="1753" t="s">
        <v>17</v>
      </c>
      <c r="I459" s="1753" t="s">
        <v>3248</v>
      </c>
      <c r="J459" t="s">
        <v>17</v>
      </c>
      <c r="K459" t="s">
        <v>3200</v>
      </c>
      <c r="L459" t="s">
        <v>3221</v>
      </c>
      <c r="M459" t="s">
        <v>3249</v>
      </c>
      <c r="N459" t="s">
        <v>393</v>
      </c>
    </row>
    <row r="460" spans="1:14" ht="11.25" customHeight="1">
      <c r="A460" s="1753" t="s">
        <v>2199</v>
      </c>
      <c r="B460" s="1753" t="s">
        <v>14</v>
      </c>
      <c r="C460" s="1753" t="s">
        <v>2377</v>
      </c>
      <c r="D460" s="1753" t="s">
        <v>2378</v>
      </c>
      <c r="E460" s="1753" t="s">
        <v>2379</v>
      </c>
      <c r="F460" s="1753" t="s">
        <v>2380</v>
      </c>
      <c r="G460" s="1753" t="s">
        <v>17</v>
      </c>
      <c r="H460" s="1753" t="s">
        <v>17</v>
      </c>
      <c r="I460" s="1753" t="s">
        <v>2214</v>
      </c>
      <c r="J460" t="s">
        <v>17</v>
      </c>
      <c r="K460" t="s">
        <v>3200</v>
      </c>
      <c r="L460" t="s">
        <v>3206</v>
      </c>
      <c r="M460" t="s">
        <v>3207</v>
      </c>
      <c r="N460" t="s">
        <v>393</v>
      </c>
    </row>
    <row r="461" spans="1:14" ht="11.25" customHeight="1">
      <c r="A461" s="1753" t="s">
        <v>2199</v>
      </c>
      <c r="B461" s="1753" t="s">
        <v>14</v>
      </c>
      <c r="C461" s="1753" t="s">
        <v>2377</v>
      </c>
      <c r="D461" s="1753" t="s">
        <v>2378</v>
      </c>
      <c r="E461" s="1753" t="s">
        <v>2379</v>
      </c>
      <c r="F461" s="1753" t="s">
        <v>2380</v>
      </c>
      <c r="G461" s="1753" t="s">
        <v>17</v>
      </c>
      <c r="H461" s="1753" t="s">
        <v>17</v>
      </c>
      <c r="I461" s="1753" t="s">
        <v>2214</v>
      </c>
      <c r="J461" t="s">
        <v>17</v>
      </c>
      <c r="K461" t="s">
        <v>3208</v>
      </c>
      <c r="L461" t="s">
        <v>3206</v>
      </c>
      <c r="M461" t="s">
        <v>3207</v>
      </c>
      <c r="N461" t="s">
        <v>393</v>
      </c>
    </row>
    <row r="462" spans="1:14" ht="11.25" customHeight="1">
      <c r="A462" s="1753" t="s">
        <v>2199</v>
      </c>
      <c r="B462" s="1753" t="s">
        <v>14</v>
      </c>
      <c r="C462" s="1753" t="s">
        <v>3250</v>
      </c>
      <c r="D462" s="1753" t="s">
        <v>3251</v>
      </c>
      <c r="E462" s="1753" t="s">
        <v>3252</v>
      </c>
      <c r="F462" s="1753" t="s">
        <v>2670</v>
      </c>
      <c r="G462" s="1753" t="s">
        <v>17</v>
      </c>
      <c r="H462" s="1753" t="s">
        <v>17</v>
      </c>
      <c r="I462" s="1753" t="s">
        <v>2469</v>
      </c>
      <c r="J462" t="s">
        <v>17</v>
      </c>
      <c r="K462" t="s">
        <v>3200</v>
      </c>
      <c r="L462" t="s">
        <v>3206</v>
      </c>
      <c r="M462" t="s">
        <v>3207</v>
      </c>
      <c r="N462" t="s">
        <v>393</v>
      </c>
    </row>
    <row r="463" spans="1:14" ht="11.25" customHeight="1">
      <c r="A463" s="1753" t="s">
        <v>2199</v>
      </c>
      <c r="B463" s="1753" t="s">
        <v>14</v>
      </c>
      <c r="C463" s="1753" t="s">
        <v>3250</v>
      </c>
      <c r="D463" s="1753" t="s">
        <v>3251</v>
      </c>
      <c r="E463" s="1753" t="s">
        <v>3252</v>
      </c>
      <c r="F463" s="1753" t="s">
        <v>2670</v>
      </c>
      <c r="G463" s="1753" t="s">
        <v>17</v>
      </c>
      <c r="H463" s="1753" t="s">
        <v>17</v>
      </c>
      <c r="I463" s="1753" t="s">
        <v>2469</v>
      </c>
      <c r="J463" t="s">
        <v>17</v>
      </c>
      <c r="K463" t="s">
        <v>3208</v>
      </c>
      <c r="L463" t="s">
        <v>3206</v>
      </c>
      <c r="M463" t="s">
        <v>3207</v>
      </c>
      <c r="N463" t="s">
        <v>393</v>
      </c>
    </row>
    <row r="464" spans="1:14" ht="11.25" customHeight="1">
      <c r="A464" s="1753" t="s">
        <v>2199</v>
      </c>
      <c r="B464" s="1753" t="s">
        <v>14</v>
      </c>
      <c r="C464" s="1753" t="s">
        <v>3253</v>
      </c>
      <c r="D464" s="1753" t="s">
        <v>3254</v>
      </c>
      <c r="E464" s="1753" t="s">
        <v>3255</v>
      </c>
      <c r="F464" s="1753" t="s">
        <v>2457</v>
      </c>
      <c r="G464" s="1753" t="s">
        <v>3256</v>
      </c>
      <c r="H464" s="1753" t="s">
        <v>17</v>
      </c>
      <c r="I464" s="1753" t="s">
        <v>2330</v>
      </c>
      <c r="J464" t="s">
        <v>17</v>
      </c>
      <c r="K464" t="s">
        <v>3200</v>
      </c>
      <c r="L464" t="s">
        <v>3206</v>
      </c>
      <c r="M464" t="s">
        <v>3207</v>
      </c>
      <c r="N464" t="s">
        <v>393</v>
      </c>
    </row>
    <row r="465" spans="1:14" ht="11.25" customHeight="1">
      <c r="A465" s="1753" t="s">
        <v>2199</v>
      </c>
      <c r="B465" s="1753" t="s">
        <v>14</v>
      </c>
      <c r="C465" s="1753" t="s">
        <v>3253</v>
      </c>
      <c r="D465" s="1753" t="s">
        <v>3254</v>
      </c>
      <c r="E465" s="1753" t="s">
        <v>3255</v>
      </c>
      <c r="F465" s="1753" t="s">
        <v>2457</v>
      </c>
      <c r="G465" s="1753" t="s">
        <v>3256</v>
      </c>
      <c r="H465" s="1753" t="s">
        <v>17</v>
      </c>
      <c r="I465" s="1753" t="s">
        <v>2330</v>
      </c>
      <c r="J465" t="s">
        <v>17</v>
      </c>
      <c r="K465" t="s">
        <v>3208</v>
      </c>
      <c r="L465" t="s">
        <v>3206</v>
      </c>
      <c r="M465" t="s">
        <v>3207</v>
      </c>
      <c r="N465" t="s">
        <v>393</v>
      </c>
    </row>
    <row r="466" spans="1:14" ht="11.25" customHeight="1">
      <c r="A466" s="1753" t="s">
        <v>2199</v>
      </c>
      <c r="B466" s="1753" t="s">
        <v>14</v>
      </c>
      <c r="C466" s="1753" t="s">
        <v>2417</v>
      </c>
      <c r="D466" s="1753" t="s">
        <v>2418</v>
      </c>
      <c r="E466" s="1753" t="s">
        <v>2419</v>
      </c>
      <c r="F466" s="1753" t="s">
        <v>2420</v>
      </c>
      <c r="G466" s="1753" t="s">
        <v>17</v>
      </c>
      <c r="H466" s="1753" t="s">
        <v>17</v>
      </c>
      <c r="I466" s="1753" t="s">
        <v>2330</v>
      </c>
      <c r="J466" t="s">
        <v>17</v>
      </c>
      <c r="K466" t="s">
        <v>3200</v>
      </c>
      <c r="L466" t="s">
        <v>3206</v>
      </c>
      <c r="M466" t="s">
        <v>3207</v>
      </c>
      <c r="N466" t="s">
        <v>393</v>
      </c>
    </row>
    <row r="467" spans="1:14" ht="11.25" customHeight="1">
      <c r="A467" s="1753" t="s">
        <v>2199</v>
      </c>
      <c r="B467" s="1753" t="s">
        <v>14</v>
      </c>
      <c r="C467" s="1753" t="s">
        <v>2417</v>
      </c>
      <c r="D467" s="1753" t="s">
        <v>2418</v>
      </c>
      <c r="E467" s="1753" t="s">
        <v>2419</v>
      </c>
      <c r="F467" s="1753" t="s">
        <v>2420</v>
      </c>
      <c r="G467" s="1753" t="s">
        <v>17</v>
      </c>
      <c r="H467" s="1753" t="s">
        <v>17</v>
      </c>
      <c r="I467" s="1753" t="s">
        <v>2330</v>
      </c>
      <c r="J467" t="s">
        <v>17</v>
      </c>
      <c r="K467" t="s">
        <v>3208</v>
      </c>
      <c r="L467" t="s">
        <v>3206</v>
      </c>
      <c r="M467" t="s">
        <v>3207</v>
      </c>
      <c r="N467" t="s">
        <v>393</v>
      </c>
    </row>
    <row r="468" spans="1:14" ht="11.25" customHeight="1">
      <c r="A468" s="1753" t="s">
        <v>2199</v>
      </c>
      <c r="B468" s="1753" t="s">
        <v>14</v>
      </c>
      <c r="C468" s="1753" t="s">
        <v>3257</v>
      </c>
      <c r="D468" s="1753" t="s">
        <v>3258</v>
      </c>
      <c r="E468" s="1753" t="s">
        <v>3259</v>
      </c>
      <c r="F468" s="1753" t="s">
        <v>2603</v>
      </c>
      <c r="G468" s="1753" t="s">
        <v>17</v>
      </c>
      <c r="H468" s="1753" t="s">
        <v>17</v>
      </c>
      <c r="I468" s="1753" t="s">
        <v>2330</v>
      </c>
      <c r="J468" t="s">
        <v>17</v>
      </c>
      <c r="K468" t="s">
        <v>3200</v>
      </c>
      <c r="L468" t="s">
        <v>3201</v>
      </c>
      <c r="M468" t="s">
        <v>3202</v>
      </c>
      <c r="N468" t="s">
        <v>393</v>
      </c>
    </row>
    <row r="469" spans="1:14" ht="11.25" customHeight="1">
      <c r="A469" s="1753" t="s">
        <v>2199</v>
      </c>
      <c r="B469" s="1753" t="s">
        <v>14</v>
      </c>
      <c r="C469" s="1753" t="s">
        <v>2429</v>
      </c>
      <c r="D469" s="1753" t="s">
        <v>2430</v>
      </c>
      <c r="E469" s="1753" t="s">
        <v>2431</v>
      </c>
      <c r="F469" s="1753" t="s">
        <v>2432</v>
      </c>
      <c r="G469" s="1753" t="s">
        <v>17</v>
      </c>
      <c r="H469" s="1753" t="s">
        <v>17</v>
      </c>
      <c r="I469" s="1753" t="s">
        <v>2246</v>
      </c>
      <c r="J469" t="s">
        <v>17</v>
      </c>
      <c r="K469" t="s">
        <v>3200</v>
      </c>
      <c r="L469" t="s">
        <v>3206</v>
      </c>
      <c r="M469" t="s">
        <v>3207</v>
      </c>
      <c r="N469" t="s">
        <v>393</v>
      </c>
    </row>
    <row r="470" spans="1:14" ht="11.25" customHeight="1">
      <c r="A470" s="1753" t="s">
        <v>2199</v>
      </c>
      <c r="B470" s="1753" t="s">
        <v>14</v>
      </c>
      <c r="C470" s="1753" t="s">
        <v>2429</v>
      </c>
      <c r="D470" s="1753" t="s">
        <v>2430</v>
      </c>
      <c r="E470" s="1753" t="s">
        <v>2431</v>
      </c>
      <c r="F470" s="1753" t="s">
        <v>2432</v>
      </c>
      <c r="G470" s="1753" t="s">
        <v>17</v>
      </c>
      <c r="H470" s="1753" t="s">
        <v>17</v>
      </c>
      <c r="I470" s="1753" t="s">
        <v>2246</v>
      </c>
      <c r="J470" t="s">
        <v>17</v>
      </c>
      <c r="K470" t="s">
        <v>3208</v>
      </c>
      <c r="L470" t="s">
        <v>3206</v>
      </c>
      <c r="M470" t="s">
        <v>3207</v>
      </c>
      <c r="N470" t="s">
        <v>393</v>
      </c>
    </row>
    <row r="471" spans="1:14" ht="11.25" customHeight="1">
      <c r="A471" s="1753" t="s">
        <v>2199</v>
      </c>
      <c r="B471" s="1753" t="s">
        <v>14</v>
      </c>
      <c r="C471" s="1753" t="s">
        <v>2448</v>
      </c>
      <c r="D471" s="1753" t="s">
        <v>2449</v>
      </c>
      <c r="E471" s="1753" t="s">
        <v>2450</v>
      </c>
      <c r="F471" s="1753" t="s">
        <v>2451</v>
      </c>
      <c r="G471" s="1753" t="s">
        <v>17</v>
      </c>
      <c r="H471" s="1753" t="s">
        <v>17</v>
      </c>
      <c r="I471" s="1753" t="s">
        <v>3260</v>
      </c>
      <c r="J471" t="s">
        <v>17</v>
      </c>
      <c r="K471" t="s">
        <v>3200</v>
      </c>
      <c r="L471" t="s">
        <v>3206</v>
      </c>
      <c r="M471" t="s">
        <v>3207</v>
      </c>
      <c r="N471" t="s">
        <v>393</v>
      </c>
    </row>
    <row r="472" spans="1:14" ht="11.25" customHeight="1">
      <c r="A472" s="1753" t="s">
        <v>2199</v>
      </c>
      <c r="B472" s="1753" t="s">
        <v>14</v>
      </c>
      <c r="C472" s="1753" t="s">
        <v>2448</v>
      </c>
      <c r="D472" s="1753" t="s">
        <v>2449</v>
      </c>
      <c r="E472" s="1753" t="s">
        <v>2450</v>
      </c>
      <c r="F472" s="1753" t="s">
        <v>2451</v>
      </c>
      <c r="G472" s="1753" t="s">
        <v>17</v>
      </c>
      <c r="H472" s="1753" t="s">
        <v>17</v>
      </c>
      <c r="I472" s="1753" t="s">
        <v>3260</v>
      </c>
      <c r="J472" t="s">
        <v>17</v>
      </c>
      <c r="K472" t="s">
        <v>3208</v>
      </c>
      <c r="L472" t="s">
        <v>3206</v>
      </c>
      <c r="M472" t="s">
        <v>3207</v>
      </c>
      <c r="N472" t="s">
        <v>393</v>
      </c>
    </row>
    <row r="473" spans="1:14" ht="11.25" customHeight="1">
      <c r="A473" s="1753" t="s">
        <v>2199</v>
      </c>
      <c r="B473" s="1753" t="s">
        <v>14</v>
      </c>
      <c r="C473" s="1753" t="s">
        <v>2448</v>
      </c>
      <c r="D473" s="1753" t="s">
        <v>2449</v>
      </c>
      <c r="E473" s="1753" t="s">
        <v>2450</v>
      </c>
      <c r="F473" s="1753" t="s">
        <v>2451</v>
      </c>
      <c r="G473" s="1753" t="s">
        <v>17</v>
      </c>
      <c r="H473" s="1753" t="s">
        <v>17</v>
      </c>
      <c r="I473" s="1753" t="s">
        <v>2453</v>
      </c>
      <c r="J473" t="s">
        <v>17</v>
      </c>
      <c r="K473" t="s">
        <v>3200</v>
      </c>
      <c r="L473" t="s">
        <v>3201</v>
      </c>
      <c r="M473" t="s">
        <v>3202</v>
      </c>
      <c r="N473" t="s">
        <v>393</v>
      </c>
    </row>
    <row r="474" spans="1:14" ht="11.25" customHeight="1">
      <c r="A474" s="1753" t="s">
        <v>2199</v>
      </c>
      <c r="B474" s="1753" t="s">
        <v>14</v>
      </c>
      <c r="C474" s="1753" t="s">
        <v>2448</v>
      </c>
      <c r="D474" s="1753" t="s">
        <v>2449</v>
      </c>
      <c r="E474" s="1753" t="s">
        <v>2450</v>
      </c>
      <c r="F474" s="1753" t="s">
        <v>2451</v>
      </c>
      <c r="G474" s="1753" t="s">
        <v>17</v>
      </c>
      <c r="H474" s="1753" t="s">
        <v>17</v>
      </c>
      <c r="I474" s="1753" t="s">
        <v>2330</v>
      </c>
      <c r="J474" t="s">
        <v>17</v>
      </c>
      <c r="K474" t="s">
        <v>3200</v>
      </c>
      <c r="L474" t="s">
        <v>3206</v>
      </c>
      <c r="M474" t="s">
        <v>3207</v>
      </c>
      <c r="N474" t="s">
        <v>393</v>
      </c>
    </row>
    <row r="475" spans="1:14" ht="11.25" customHeight="1">
      <c r="A475" s="1753" t="s">
        <v>2199</v>
      </c>
      <c r="B475" s="1753" t="s">
        <v>14</v>
      </c>
      <c r="C475" s="1753" t="s">
        <v>2448</v>
      </c>
      <c r="D475" s="1753" t="s">
        <v>2449</v>
      </c>
      <c r="E475" s="1753" t="s">
        <v>2450</v>
      </c>
      <c r="F475" s="1753" t="s">
        <v>2451</v>
      </c>
      <c r="G475" s="1753" t="s">
        <v>17</v>
      </c>
      <c r="H475" s="1753" t="s">
        <v>17</v>
      </c>
      <c r="I475" s="1753" t="s">
        <v>2330</v>
      </c>
      <c r="J475" t="s">
        <v>17</v>
      </c>
      <c r="K475" t="s">
        <v>3208</v>
      </c>
      <c r="L475" t="s">
        <v>3206</v>
      </c>
      <c r="M475" t="s">
        <v>3207</v>
      </c>
      <c r="N475" t="s">
        <v>393</v>
      </c>
    </row>
    <row r="476" spans="1:14" ht="11.25" customHeight="1">
      <c r="A476" s="1753" t="s">
        <v>2199</v>
      </c>
      <c r="B476" s="1753" t="s">
        <v>14</v>
      </c>
      <c r="C476" s="1753" t="s">
        <v>2448</v>
      </c>
      <c r="D476" s="1753" t="s">
        <v>2449</v>
      </c>
      <c r="E476" s="1753" t="s">
        <v>2450</v>
      </c>
      <c r="F476" s="1753" t="s">
        <v>2451</v>
      </c>
      <c r="G476" s="1753" t="s">
        <v>17</v>
      </c>
      <c r="H476" s="1753" t="s">
        <v>17</v>
      </c>
      <c r="I476" s="1753" t="s">
        <v>2330</v>
      </c>
      <c r="J476" t="s">
        <v>17</v>
      </c>
      <c r="K476" t="s">
        <v>3200</v>
      </c>
      <c r="L476" t="s">
        <v>3212</v>
      </c>
      <c r="M476" t="s">
        <v>3213</v>
      </c>
      <c r="N476" t="s">
        <v>393</v>
      </c>
    </row>
    <row r="477" spans="1:14" ht="11.25" customHeight="1">
      <c r="A477" s="1753" t="s">
        <v>2199</v>
      </c>
      <c r="B477" s="1753" t="s">
        <v>14</v>
      </c>
      <c r="C477" s="1753" t="s">
        <v>2448</v>
      </c>
      <c r="D477" s="1753" t="s">
        <v>2449</v>
      </c>
      <c r="E477" s="1753" t="s">
        <v>2450</v>
      </c>
      <c r="F477" s="1753" t="s">
        <v>2451</v>
      </c>
      <c r="G477" s="1753" t="s">
        <v>17</v>
      </c>
      <c r="H477" s="1753" t="s">
        <v>17</v>
      </c>
      <c r="I477" s="1753" t="s">
        <v>2330</v>
      </c>
      <c r="J477" t="s">
        <v>17</v>
      </c>
      <c r="K477" t="s">
        <v>3208</v>
      </c>
      <c r="L477" t="s">
        <v>3212</v>
      </c>
      <c r="M477" t="s">
        <v>3213</v>
      </c>
      <c r="N477" t="s">
        <v>393</v>
      </c>
    </row>
    <row r="478" spans="1:14" ht="11.25" customHeight="1">
      <c r="A478" s="1753" t="s">
        <v>2199</v>
      </c>
      <c r="B478" s="1753" t="s">
        <v>14</v>
      </c>
      <c r="C478" s="1753" t="s">
        <v>3261</v>
      </c>
      <c r="D478" s="1753" t="s">
        <v>3262</v>
      </c>
      <c r="E478" s="1753" t="s">
        <v>3263</v>
      </c>
      <c r="F478" s="1753" t="s">
        <v>2457</v>
      </c>
      <c r="G478" s="1753" t="s">
        <v>17</v>
      </c>
      <c r="H478" s="1753" t="s">
        <v>17</v>
      </c>
      <c r="I478" s="1753" t="s">
        <v>2469</v>
      </c>
      <c r="J478" t="s">
        <v>17</v>
      </c>
      <c r="K478" t="s">
        <v>3200</v>
      </c>
      <c r="L478" t="s">
        <v>3206</v>
      </c>
      <c r="M478" t="s">
        <v>3207</v>
      </c>
      <c r="N478" t="s">
        <v>393</v>
      </c>
    </row>
    <row r="479" spans="1:14" ht="11.25" customHeight="1">
      <c r="A479" s="1753" t="s">
        <v>2199</v>
      </c>
      <c r="B479" s="1753" t="s">
        <v>14</v>
      </c>
      <c r="C479" s="1753" t="s">
        <v>3261</v>
      </c>
      <c r="D479" s="1753" t="s">
        <v>3262</v>
      </c>
      <c r="E479" s="1753" t="s">
        <v>3263</v>
      </c>
      <c r="F479" s="1753" t="s">
        <v>2457</v>
      </c>
      <c r="G479" s="1753" t="s">
        <v>17</v>
      </c>
      <c r="H479" s="1753" t="s">
        <v>17</v>
      </c>
      <c r="I479" s="1753" t="s">
        <v>2469</v>
      </c>
      <c r="J479" t="s">
        <v>17</v>
      </c>
      <c r="K479" t="s">
        <v>3208</v>
      </c>
      <c r="L479" t="s">
        <v>3206</v>
      </c>
      <c r="M479" t="s">
        <v>3207</v>
      </c>
      <c r="N479" t="s">
        <v>393</v>
      </c>
    </row>
    <row r="480" spans="1:14" ht="11.25" customHeight="1">
      <c r="A480" s="1753" t="s">
        <v>2199</v>
      </c>
      <c r="B480" s="1753" t="s">
        <v>14</v>
      </c>
      <c r="C480" s="1753" t="s">
        <v>3264</v>
      </c>
      <c r="D480" s="1753" t="s">
        <v>3265</v>
      </c>
      <c r="E480" s="1753" t="s">
        <v>3266</v>
      </c>
      <c r="F480" s="1753" t="s">
        <v>2670</v>
      </c>
      <c r="G480" s="1753" t="s">
        <v>17</v>
      </c>
      <c r="H480" s="1753" t="s">
        <v>17</v>
      </c>
      <c r="I480" s="1753" t="s">
        <v>2452</v>
      </c>
      <c r="J480" t="s">
        <v>17</v>
      </c>
      <c r="K480" t="s">
        <v>3200</v>
      </c>
      <c r="L480" t="s">
        <v>3206</v>
      </c>
      <c r="M480" t="s">
        <v>3207</v>
      </c>
      <c r="N480" t="s">
        <v>393</v>
      </c>
    </row>
    <row r="481" spans="1:14" ht="11.25" customHeight="1">
      <c r="A481" s="1753" t="s">
        <v>2199</v>
      </c>
      <c r="B481" s="1753" t="s">
        <v>14</v>
      </c>
      <c r="C481" s="1753" t="s">
        <v>3264</v>
      </c>
      <c r="D481" s="1753" t="s">
        <v>3265</v>
      </c>
      <c r="E481" s="1753" t="s">
        <v>3266</v>
      </c>
      <c r="F481" s="1753" t="s">
        <v>2670</v>
      </c>
      <c r="G481" s="1753" t="s">
        <v>17</v>
      </c>
      <c r="H481" s="1753" t="s">
        <v>17</v>
      </c>
      <c r="I481" s="1753" t="s">
        <v>2452</v>
      </c>
      <c r="J481" t="s">
        <v>17</v>
      </c>
      <c r="K481" t="s">
        <v>3208</v>
      </c>
      <c r="L481" t="s">
        <v>3206</v>
      </c>
      <c r="M481" t="s">
        <v>3207</v>
      </c>
      <c r="N481" t="s">
        <v>393</v>
      </c>
    </row>
    <row r="482" spans="1:14" ht="11.25" customHeight="1">
      <c r="A482" s="1753" t="s">
        <v>2199</v>
      </c>
      <c r="B482" s="1753" t="s">
        <v>14</v>
      </c>
      <c r="C482" s="1753" t="s">
        <v>3267</v>
      </c>
      <c r="D482" s="1753" t="s">
        <v>3268</v>
      </c>
      <c r="E482" s="1753" t="s">
        <v>3269</v>
      </c>
      <c r="F482" s="1753" t="s">
        <v>2798</v>
      </c>
      <c r="G482" s="1753" t="s">
        <v>17</v>
      </c>
      <c r="H482" s="1753" t="s">
        <v>17</v>
      </c>
      <c r="I482" s="1753" t="s">
        <v>2330</v>
      </c>
      <c r="J482" t="s">
        <v>17</v>
      </c>
      <c r="K482" t="s">
        <v>3200</v>
      </c>
      <c r="L482" t="s">
        <v>3206</v>
      </c>
      <c r="M482" t="s">
        <v>3207</v>
      </c>
      <c r="N482" t="s">
        <v>393</v>
      </c>
    </row>
    <row r="483" spans="1:14" ht="11.25" customHeight="1">
      <c r="A483" s="1753" t="s">
        <v>2199</v>
      </c>
      <c r="B483" s="1753" t="s">
        <v>14</v>
      </c>
      <c r="C483" s="1753" t="s">
        <v>3267</v>
      </c>
      <c r="D483" s="1753" t="s">
        <v>3268</v>
      </c>
      <c r="E483" s="1753" t="s">
        <v>3269</v>
      </c>
      <c r="F483" s="1753" t="s">
        <v>2798</v>
      </c>
      <c r="G483" s="1753" t="s">
        <v>17</v>
      </c>
      <c r="H483" s="1753" t="s">
        <v>17</v>
      </c>
      <c r="I483" s="1753" t="s">
        <v>2330</v>
      </c>
      <c r="J483" t="s">
        <v>17</v>
      </c>
      <c r="K483" t="s">
        <v>3208</v>
      </c>
      <c r="L483" t="s">
        <v>3206</v>
      </c>
      <c r="M483" t="s">
        <v>3207</v>
      </c>
      <c r="N483" t="s">
        <v>393</v>
      </c>
    </row>
    <row r="484" spans="1:14" ht="11.25" customHeight="1">
      <c r="A484" s="1753" t="s">
        <v>2199</v>
      </c>
      <c r="B484" s="1753" t="s">
        <v>14</v>
      </c>
      <c r="C484" s="1753" t="s">
        <v>3270</v>
      </c>
      <c r="D484" s="1753" t="s">
        <v>3271</v>
      </c>
      <c r="E484" s="1753" t="s">
        <v>3272</v>
      </c>
      <c r="F484" s="1753" t="s">
        <v>2798</v>
      </c>
      <c r="G484" s="1753" t="s">
        <v>17</v>
      </c>
      <c r="H484" s="1753" t="s">
        <v>17</v>
      </c>
      <c r="I484" s="1753" t="s">
        <v>3273</v>
      </c>
      <c r="J484" t="s">
        <v>17</v>
      </c>
      <c r="K484" t="s">
        <v>3200</v>
      </c>
      <c r="L484" t="s">
        <v>3206</v>
      </c>
      <c r="M484" t="s">
        <v>3207</v>
      </c>
      <c r="N484" t="s">
        <v>393</v>
      </c>
    </row>
    <row r="485" spans="1:14" ht="11.25" customHeight="1">
      <c r="A485" s="1753" t="s">
        <v>2199</v>
      </c>
      <c r="B485" s="1753" t="s">
        <v>14</v>
      </c>
      <c r="C485" s="1753" t="s">
        <v>3270</v>
      </c>
      <c r="D485" s="1753" t="s">
        <v>3271</v>
      </c>
      <c r="E485" s="1753" t="s">
        <v>3272</v>
      </c>
      <c r="F485" s="1753" t="s">
        <v>2798</v>
      </c>
      <c r="G485" s="1753" t="s">
        <v>17</v>
      </c>
      <c r="H485" s="1753" t="s">
        <v>17</v>
      </c>
      <c r="I485" s="1753" t="s">
        <v>3273</v>
      </c>
      <c r="J485" t="s">
        <v>17</v>
      </c>
      <c r="K485" t="s">
        <v>3208</v>
      </c>
      <c r="L485" t="s">
        <v>3206</v>
      </c>
      <c r="M485" t="s">
        <v>3207</v>
      </c>
      <c r="N485" t="s">
        <v>393</v>
      </c>
    </row>
    <row r="486" spans="1:14" ht="11.25" customHeight="1">
      <c r="A486" s="1753" t="s">
        <v>2199</v>
      </c>
      <c r="B486" s="1753" t="s">
        <v>14</v>
      </c>
      <c r="C486" s="1753" t="s">
        <v>3274</v>
      </c>
      <c r="D486" s="1753" t="s">
        <v>3275</v>
      </c>
      <c r="E486" s="1753" t="s">
        <v>3276</v>
      </c>
      <c r="F486" s="1753" t="s">
        <v>2798</v>
      </c>
      <c r="G486" s="1753" t="s">
        <v>17</v>
      </c>
      <c r="H486" s="1753" t="s">
        <v>17</v>
      </c>
      <c r="I486" s="1753" t="s">
        <v>2330</v>
      </c>
      <c r="J486" t="s">
        <v>17</v>
      </c>
      <c r="K486" t="s">
        <v>3200</v>
      </c>
      <c r="L486" t="s">
        <v>3206</v>
      </c>
      <c r="M486" t="s">
        <v>3207</v>
      </c>
      <c r="N486" t="s">
        <v>393</v>
      </c>
    </row>
    <row r="487" spans="1:14" ht="11.25" customHeight="1">
      <c r="A487" s="1753" t="s">
        <v>2199</v>
      </c>
      <c r="B487" s="1753" t="s">
        <v>14</v>
      </c>
      <c r="C487" s="1753" t="s">
        <v>3274</v>
      </c>
      <c r="D487" s="1753" t="s">
        <v>3275</v>
      </c>
      <c r="E487" s="1753" t="s">
        <v>3276</v>
      </c>
      <c r="F487" s="1753" t="s">
        <v>2798</v>
      </c>
      <c r="G487" s="1753" t="s">
        <v>17</v>
      </c>
      <c r="H487" s="1753" t="s">
        <v>17</v>
      </c>
      <c r="I487" s="1753" t="s">
        <v>2330</v>
      </c>
      <c r="J487" t="s">
        <v>17</v>
      </c>
      <c r="K487" t="s">
        <v>3208</v>
      </c>
      <c r="L487" t="s">
        <v>3206</v>
      </c>
      <c r="M487" t="s">
        <v>3207</v>
      </c>
      <c r="N487" t="s">
        <v>393</v>
      </c>
    </row>
    <row r="488" spans="1:14" ht="11.25" customHeight="1">
      <c r="A488" s="1753" t="s">
        <v>2199</v>
      </c>
      <c r="B488" s="1753" t="s">
        <v>14</v>
      </c>
      <c r="C488" s="1753" t="s">
        <v>3277</v>
      </c>
      <c r="D488" s="1753" t="s">
        <v>3278</v>
      </c>
      <c r="E488" s="1753" t="s">
        <v>3279</v>
      </c>
      <c r="F488" s="1753" t="s">
        <v>2798</v>
      </c>
      <c r="G488" s="1753" t="s">
        <v>17</v>
      </c>
      <c r="H488" s="1753" t="s">
        <v>17</v>
      </c>
      <c r="I488" s="1753" t="s">
        <v>2330</v>
      </c>
      <c r="J488" t="s">
        <v>17</v>
      </c>
      <c r="K488" t="s">
        <v>3200</v>
      </c>
      <c r="L488" t="s">
        <v>3206</v>
      </c>
      <c r="M488" t="s">
        <v>3207</v>
      </c>
      <c r="N488" t="s">
        <v>393</v>
      </c>
    </row>
    <row r="489" spans="1:14" ht="11.25" customHeight="1">
      <c r="A489" s="1753" t="s">
        <v>2199</v>
      </c>
      <c r="B489" s="1753" t="s">
        <v>14</v>
      </c>
      <c r="C489" s="1753" t="s">
        <v>3277</v>
      </c>
      <c r="D489" s="1753" t="s">
        <v>3278</v>
      </c>
      <c r="E489" s="1753" t="s">
        <v>3279</v>
      </c>
      <c r="F489" s="1753" t="s">
        <v>2798</v>
      </c>
      <c r="G489" s="1753" t="s">
        <v>17</v>
      </c>
      <c r="H489" s="1753" t="s">
        <v>17</v>
      </c>
      <c r="I489" s="1753" t="s">
        <v>2330</v>
      </c>
      <c r="J489" t="s">
        <v>17</v>
      </c>
      <c r="K489" t="s">
        <v>3208</v>
      </c>
      <c r="L489" t="s">
        <v>3206</v>
      </c>
      <c r="M489" t="s">
        <v>3207</v>
      </c>
      <c r="N489" t="s">
        <v>393</v>
      </c>
    </row>
    <row r="490" spans="1:14" ht="11.25" customHeight="1">
      <c r="A490" s="1753" t="s">
        <v>2199</v>
      </c>
      <c r="B490" s="1753" t="s">
        <v>14</v>
      </c>
      <c r="C490" s="1753" t="s">
        <v>3280</v>
      </c>
      <c r="D490" s="1753" t="s">
        <v>3281</v>
      </c>
      <c r="E490" s="1753" t="s">
        <v>3282</v>
      </c>
      <c r="F490" s="1753" t="s">
        <v>2798</v>
      </c>
      <c r="G490" s="1753" t="s">
        <v>17</v>
      </c>
      <c r="H490" s="1753" t="s">
        <v>17</v>
      </c>
      <c r="I490" s="1753" t="s">
        <v>2330</v>
      </c>
      <c r="J490" t="s">
        <v>17</v>
      </c>
      <c r="K490" t="s">
        <v>3200</v>
      </c>
      <c r="L490" t="s">
        <v>3206</v>
      </c>
      <c r="M490" t="s">
        <v>3207</v>
      </c>
      <c r="N490" t="s">
        <v>393</v>
      </c>
    </row>
    <row r="491" spans="1:14" ht="11.25" customHeight="1">
      <c r="A491" s="1753" t="s">
        <v>2199</v>
      </c>
      <c r="B491" s="1753" t="s">
        <v>14</v>
      </c>
      <c r="C491" s="1753" t="s">
        <v>3280</v>
      </c>
      <c r="D491" s="1753" t="s">
        <v>3281</v>
      </c>
      <c r="E491" s="1753" t="s">
        <v>3282</v>
      </c>
      <c r="F491" s="1753" t="s">
        <v>2798</v>
      </c>
      <c r="G491" s="1753" t="s">
        <v>17</v>
      </c>
      <c r="H491" s="1753" t="s">
        <v>17</v>
      </c>
      <c r="I491" s="1753" t="s">
        <v>2330</v>
      </c>
      <c r="J491" t="s">
        <v>17</v>
      </c>
      <c r="K491" t="s">
        <v>3208</v>
      </c>
      <c r="L491" t="s">
        <v>3206</v>
      </c>
      <c r="M491" t="s">
        <v>3207</v>
      </c>
      <c r="N491" t="s">
        <v>393</v>
      </c>
    </row>
    <row r="492" spans="1:14" ht="11.25" customHeight="1">
      <c r="A492" s="1753" t="s">
        <v>2199</v>
      </c>
      <c r="B492" s="1753" t="s">
        <v>14</v>
      </c>
      <c r="C492" s="1753" t="s">
        <v>2503</v>
      </c>
      <c r="D492" s="1753" t="s">
        <v>2504</v>
      </c>
      <c r="E492" s="1753" t="s">
        <v>2505</v>
      </c>
      <c r="F492" s="1753" t="s">
        <v>2506</v>
      </c>
      <c r="G492" s="1753" t="s">
        <v>17</v>
      </c>
      <c r="H492" s="1753" t="s">
        <v>17</v>
      </c>
      <c r="I492" s="1753" t="s">
        <v>2246</v>
      </c>
      <c r="J492" t="s">
        <v>17</v>
      </c>
      <c r="K492" t="s">
        <v>3200</v>
      </c>
      <c r="L492" t="s">
        <v>3206</v>
      </c>
      <c r="M492" t="s">
        <v>3207</v>
      </c>
      <c r="N492" t="s">
        <v>393</v>
      </c>
    </row>
    <row r="493" spans="1:14" ht="11.25" customHeight="1">
      <c r="A493" s="1753" t="s">
        <v>2199</v>
      </c>
      <c r="B493" s="1753" t="s">
        <v>14</v>
      </c>
      <c r="C493" s="1753" t="s">
        <v>2503</v>
      </c>
      <c r="D493" s="1753" t="s">
        <v>2504</v>
      </c>
      <c r="E493" s="1753" t="s">
        <v>2505</v>
      </c>
      <c r="F493" s="1753" t="s">
        <v>2506</v>
      </c>
      <c r="G493" s="1753" t="s">
        <v>17</v>
      </c>
      <c r="H493" s="1753" t="s">
        <v>17</v>
      </c>
      <c r="I493" s="1753" t="s">
        <v>2246</v>
      </c>
      <c r="J493" t="s">
        <v>17</v>
      </c>
      <c r="K493" t="s">
        <v>3208</v>
      </c>
      <c r="L493" t="s">
        <v>3206</v>
      </c>
      <c r="M493" t="s">
        <v>3207</v>
      </c>
      <c r="N493" t="s">
        <v>393</v>
      </c>
    </row>
    <row r="494" spans="1:14" ht="11.25" customHeight="1">
      <c r="A494" s="1753" t="s">
        <v>2199</v>
      </c>
      <c r="B494" s="1753" t="s">
        <v>14</v>
      </c>
      <c r="C494" s="1753" t="s">
        <v>3283</v>
      </c>
      <c r="D494" s="1753" t="s">
        <v>3284</v>
      </c>
      <c r="E494" s="1753" t="s">
        <v>3285</v>
      </c>
      <c r="F494" s="1753" t="s">
        <v>2746</v>
      </c>
      <c r="G494" s="1753" t="s">
        <v>3286</v>
      </c>
      <c r="H494" s="1753" t="s">
        <v>17</v>
      </c>
      <c r="I494" s="1753" t="s">
        <v>2330</v>
      </c>
      <c r="J494" t="s">
        <v>17</v>
      </c>
      <c r="K494" t="s">
        <v>3200</v>
      </c>
      <c r="L494" t="s">
        <v>3287</v>
      </c>
      <c r="M494" t="s">
        <v>3288</v>
      </c>
      <c r="N494" t="s">
        <v>393</v>
      </c>
    </row>
    <row r="495" spans="1:14" ht="11.25" customHeight="1">
      <c r="A495" s="1753" t="s">
        <v>2199</v>
      </c>
      <c r="B495" s="1753" t="s">
        <v>14</v>
      </c>
      <c r="C495" s="1753" t="s">
        <v>3289</v>
      </c>
      <c r="D495" s="1753" t="s">
        <v>3284</v>
      </c>
      <c r="E495" s="1753" t="s">
        <v>3290</v>
      </c>
      <c r="F495" s="1753" t="s">
        <v>3291</v>
      </c>
      <c r="G495" s="1753" t="s">
        <v>17</v>
      </c>
      <c r="H495" s="1753" t="s">
        <v>17</v>
      </c>
      <c r="I495" s="1753" t="s">
        <v>2452</v>
      </c>
      <c r="J495" t="s">
        <v>17</v>
      </c>
      <c r="K495" t="s">
        <v>3200</v>
      </c>
      <c r="L495" t="s">
        <v>3206</v>
      </c>
      <c r="M495" t="s">
        <v>3207</v>
      </c>
      <c r="N495" t="s">
        <v>393</v>
      </c>
    </row>
    <row r="496" spans="1:14" ht="11.25" customHeight="1">
      <c r="A496" s="1753" t="s">
        <v>2199</v>
      </c>
      <c r="B496" s="1753" t="s">
        <v>14</v>
      </c>
      <c r="C496" s="1753" t="s">
        <v>3289</v>
      </c>
      <c r="D496" s="1753" t="s">
        <v>3284</v>
      </c>
      <c r="E496" s="1753" t="s">
        <v>3290</v>
      </c>
      <c r="F496" s="1753" t="s">
        <v>3291</v>
      </c>
      <c r="G496" s="1753" t="s">
        <v>17</v>
      </c>
      <c r="H496" s="1753" t="s">
        <v>17</v>
      </c>
      <c r="I496" s="1753" t="s">
        <v>2452</v>
      </c>
      <c r="J496" t="s">
        <v>17</v>
      </c>
      <c r="K496" t="s">
        <v>3208</v>
      </c>
      <c r="L496" t="s">
        <v>3206</v>
      </c>
      <c r="M496" t="s">
        <v>3207</v>
      </c>
      <c r="N496" t="s">
        <v>393</v>
      </c>
    </row>
    <row r="497" spans="1:14" ht="11.25" customHeight="1">
      <c r="A497" s="1753" t="s">
        <v>2199</v>
      </c>
      <c r="B497" s="1753" t="s">
        <v>14</v>
      </c>
      <c r="C497" s="1753" t="s">
        <v>2507</v>
      </c>
      <c r="D497" s="1753" t="s">
        <v>2508</v>
      </c>
      <c r="E497" s="1753" t="s">
        <v>2509</v>
      </c>
      <c r="F497" s="1753" t="s">
        <v>2380</v>
      </c>
      <c r="G497" s="1753" t="s">
        <v>17</v>
      </c>
      <c r="H497" s="1753" t="s">
        <v>17</v>
      </c>
      <c r="I497" s="1753" t="s">
        <v>2214</v>
      </c>
      <c r="J497" t="s">
        <v>17</v>
      </c>
      <c r="K497" t="s">
        <v>3200</v>
      </c>
      <c r="L497" t="s">
        <v>3206</v>
      </c>
      <c r="M497" t="s">
        <v>3207</v>
      </c>
      <c r="N497" t="s">
        <v>393</v>
      </c>
    </row>
    <row r="498" spans="1:14" ht="11.25" customHeight="1">
      <c r="A498" s="1753" t="s">
        <v>2199</v>
      </c>
      <c r="B498" s="1753" t="s">
        <v>14</v>
      </c>
      <c r="C498" s="1753" t="s">
        <v>2507</v>
      </c>
      <c r="D498" s="1753" t="s">
        <v>2508</v>
      </c>
      <c r="E498" s="1753" t="s">
        <v>2509</v>
      </c>
      <c r="F498" s="1753" t="s">
        <v>2380</v>
      </c>
      <c r="G498" s="1753" t="s">
        <v>17</v>
      </c>
      <c r="H498" s="1753" t="s">
        <v>17</v>
      </c>
      <c r="I498" s="1753" t="s">
        <v>2214</v>
      </c>
      <c r="J498" t="s">
        <v>17</v>
      </c>
      <c r="K498" t="s">
        <v>3208</v>
      </c>
      <c r="L498" t="s">
        <v>3206</v>
      </c>
      <c r="M498" t="s">
        <v>3207</v>
      </c>
      <c r="N498" t="s">
        <v>393</v>
      </c>
    </row>
    <row r="499" spans="1:14" ht="11.25" customHeight="1">
      <c r="A499" s="1753" t="s">
        <v>2199</v>
      </c>
      <c r="B499" s="1753" t="s">
        <v>14</v>
      </c>
      <c r="C499" s="1753" t="s">
        <v>3292</v>
      </c>
      <c r="D499" s="1753" t="s">
        <v>3293</v>
      </c>
      <c r="E499" s="1753" t="s">
        <v>3294</v>
      </c>
      <c r="F499" s="1753" t="s">
        <v>2522</v>
      </c>
      <c r="G499" s="1753" t="s">
        <v>17</v>
      </c>
      <c r="H499" s="1753" t="s">
        <v>17</v>
      </c>
      <c r="I499" s="1753" t="s">
        <v>2246</v>
      </c>
      <c r="J499" t="s">
        <v>17</v>
      </c>
      <c r="K499" t="s">
        <v>3200</v>
      </c>
      <c r="L499" t="s">
        <v>3206</v>
      </c>
      <c r="M499" t="s">
        <v>3207</v>
      </c>
      <c r="N499" t="s">
        <v>393</v>
      </c>
    </row>
    <row r="500" spans="1:14" ht="11.25" customHeight="1">
      <c r="A500" s="1753" t="s">
        <v>2199</v>
      </c>
      <c r="B500" s="1753" t="s">
        <v>14</v>
      </c>
      <c r="C500" s="1753" t="s">
        <v>3292</v>
      </c>
      <c r="D500" s="1753" t="s">
        <v>3293</v>
      </c>
      <c r="E500" s="1753" t="s">
        <v>3294</v>
      </c>
      <c r="F500" s="1753" t="s">
        <v>2522</v>
      </c>
      <c r="G500" s="1753" t="s">
        <v>17</v>
      </c>
      <c r="H500" s="1753" t="s">
        <v>17</v>
      </c>
      <c r="I500" s="1753" t="s">
        <v>2246</v>
      </c>
      <c r="J500" t="s">
        <v>17</v>
      </c>
      <c r="K500" t="s">
        <v>3208</v>
      </c>
      <c r="L500" t="s">
        <v>3206</v>
      </c>
      <c r="M500" t="s">
        <v>3207</v>
      </c>
      <c r="N500" t="s">
        <v>393</v>
      </c>
    </row>
    <row r="501" spans="1:14" ht="11.25" customHeight="1">
      <c r="A501" s="1753" t="s">
        <v>2199</v>
      </c>
      <c r="B501" s="1753" t="s">
        <v>14</v>
      </c>
      <c r="C501" s="1753" t="s">
        <v>2511</v>
      </c>
      <c r="D501" s="1753" t="s">
        <v>2512</v>
      </c>
      <c r="E501" s="1753" t="s">
        <v>2513</v>
      </c>
      <c r="F501" s="1753" t="s">
        <v>2306</v>
      </c>
      <c r="G501" s="1753" t="s">
        <v>17</v>
      </c>
      <c r="H501" s="1753" t="s">
        <v>17</v>
      </c>
      <c r="I501" s="1753" t="s">
        <v>3161</v>
      </c>
      <c r="J501" t="s">
        <v>17</v>
      </c>
      <c r="K501" t="s">
        <v>3200</v>
      </c>
      <c r="L501" t="s">
        <v>3206</v>
      </c>
      <c r="M501" t="s">
        <v>3207</v>
      </c>
      <c r="N501" t="s">
        <v>393</v>
      </c>
    </row>
    <row r="502" spans="1:14" ht="11.25" customHeight="1">
      <c r="A502" s="1753" t="s">
        <v>2199</v>
      </c>
      <c r="B502" s="1753" t="s">
        <v>14</v>
      </c>
      <c r="C502" s="1753" t="s">
        <v>2511</v>
      </c>
      <c r="D502" s="1753" t="s">
        <v>2512</v>
      </c>
      <c r="E502" s="1753" t="s">
        <v>2513</v>
      </c>
      <c r="F502" s="1753" t="s">
        <v>2306</v>
      </c>
      <c r="G502" s="1753" t="s">
        <v>17</v>
      </c>
      <c r="H502" s="1753" t="s">
        <v>17</v>
      </c>
      <c r="I502" s="1753" t="s">
        <v>3161</v>
      </c>
      <c r="J502" t="s">
        <v>17</v>
      </c>
      <c r="K502" t="s">
        <v>3208</v>
      </c>
      <c r="L502" t="s">
        <v>3206</v>
      </c>
      <c r="M502" t="s">
        <v>3207</v>
      </c>
      <c r="N502" t="s">
        <v>393</v>
      </c>
    </row>
    <row r="503" spans="1:14" ht="11.25" customHeight="1">
      <c r="A503" s="1753" t="s">
        <v>2199</v>
      </c>
      <c r="B503" s="1753" t="s">
        <v>14</v>
      </c>
      <c r="C503" s="1753" t="s">
        <v>2515</v>
      </c>
      <c r="D503" s="1753" t="s">
        <v>2516</v>
      </c>
      <c r="E503" s="1753" t="s">
        <v>2517</v>
      </c>
      <c r="F503" s="1753" t="s">
        <v>2380</v>
      </c>
      <c r="G503" s="1753" t="s">
        <v>17</v>
      </c>
      <c r="H503" s="1753" t="s">
        <v>17</v>
      </c>
      <c r="I503" s="1753" t="s">
        <v>2661</v>
      </c>
      <c r="J503" t="s">
        <v>17</v>
      </c>
      <c r="K503" t="s">
        <v>3200</v>
      </c>
      <c r="L503" t="s">
        <v>3295</v>
      </c>
      <c r="M503" t="s">
        <v>3296</v>
      </c>
      <c r="N503" t="s">
        <v>393</v>
      </c>
    </row>
    <row r="504" spans="1:14" ht="11.25" customHeight="1">
      <c r="A504" s="1753" t="s">
        <v>2199</v>
      </c>
      <c r="B504" s="1753" t="s">
        <v>14</v>
      </c>
      <c r="C504" s="1753" t="s">
        <v>2523</v>
      </c>
      <c r="D504" s="1753" t="s">
        <v>2524</v>
      </c>
      <c r="E504" s="1753" t="s">
        <v>2525</v>
      </c>
      <c r="F504" s="1753" t="s">
        <v>2268</v>
      </c>
      <c r="G504" s="1753" t="s">
        <v>17</v>
      </c>
      <c r="H504" s="1753" t="s">
        <v>17</v>
      </c>
      <c r="I504" s="1753" t="s">
        <v>2452</v>
      </c>
      <c r="J504" t="s">
        <v>17</v>
      </c>
      <c r="K504" t="s">
        <v>3200</v>
      </c>
      <c r="L504" t="s">
        <v>3206</v>
      </c>
      <c r="M504" t="s">
        <v>3207</v>
      </c>
      <c r="N504" t="s">
        <v>393</v>
      </c>
    </row>
    <row r="505" spans="1:14" ht="11.25" customHeight="1">
      <c r="A505" s="1753" t="s">
        <v>2199</v>
      </c>
      <c r="B505" s="1753" t="s">
        <v>14</v>
      </c>
      <c r="C505" s="1753" t="s">
        <v>2523</v>
      </c>
      <c r="D505" s="1753" t="s">
        <v>2524</v>
      </c>
      <c r="E505" s="1753" t="s">
        <v>2525</v>
      </c>
      <c r="F505" s="1753" t="s">
        <v>2268</v>
      </c>
      <c r="G505" s="1753" t="s">
        <v>17</v>
      </c>
      <c r="H505" s="1753" t="s">
        <v>17</v>
      </c>
      <c r="I505" s="1753" t="s">
        <v>2452</v>
      </c>
      <c r="J505" t="s">
        <v>17</v>
      </c>
      <c r="K505" t="s">
        <v>3208</v>
      </c>
      <c r="L505" t="s">
        <v>3206</v>
      </c>
      <c r="M505" t="s">
        <v>3207</v>
      </c>
      <c r="N505" t="s">
        <v>393</v>
      </c>
    </row>
    <row r="506" spans="1:14" ht="11.25" customHeight="1">
      <c r="A506" s="1753" t="s">
        <v>2199</v>
      </c>
      <c r="B506" s="1753" t="s">
        <v>14</v>
      </c>
      <c r="C506" s="1753" t="s">
        <v>2526</v>
      </c>
      <c r="D506" s="1753" t="s">
        <v>2527</v>
      </c>
      <c r="E506" s="1753" t="s">
        <v>2528</v>
      </c>
      <c r="F506" s="1753" t="s">
        <v>2370</v>
      </c>
      <c r="G506" s="1753" t="s">
        <v>17</v>
      </c>
      <c r="H506" s="1753" t="s">
        <v>17</v>
      </c>
      <c r="I506" s="1753" t="s">
        <v>2452</v>
      </c>
      <c r="J506" t="s">
        <v>17</v>
      </c>
      <c r="K506" t="s">
        <v>3200</v>
      </c>
      <c r="L506" t="s">
        <v>3206</v>
      </c>
      <c r="M506" t="s">
        <v>3207</v>
      </c>
      <c r="N506" t="s">
        <v>393</v>
      </c>
    </row>
    <row r="507" spans="1:14" ht="11.25" customHeight="1">
      <c r="A507" s="1753" t="s">
        <v>2199</v>
      </c>
      <c r="B507" s="1753" t="s">
        <v>14</v>
      </c>
      <c r="C507" s="1753" t="s">
        <v>2526</v>
      </c>
      <c r="D507" s="1753" t="s">
        <v>2527</v>
      </c>
      <c r="E507" s="1753" t="s">
        <v>2528</v>
      </c>
      <c r="F507" s="1753" t="s">
        <v>2370</v>
      </c>
      <c r="G507" s="1753" t="s">
        <v>17</v>
      </c>
      <c r="H507" s="1753" t="s">
        <v>17</v>
      </c>
      <c r="I507" s="1753" t="s">
        <v>2452</v>
      </c>
      <c r="J507" t="s">
        <v>17</v>
      </c>
      <c r="K507" t="s">
        <v>3208</v>
      </c>
      <c r="L507" t="s">
        <v>3206</v>
      </c>
      <c r="M507" t="s">
        <v>3207</v>
      </c>
      <c r="N507" t="s">
        <v>393</v>
      </c>
    </row>
    <row r="508" spans="1:14" ht="11.25" customHeight="1">
      <c r="A508" s="1753" t="s">
        <v>2199</v>
      </c>
      <c r="B508" s="1753" t="s">
        <v>14</v>
      </c>
      <c r="C508" s="1753" t="s">
        <v>2529</v>
      </c>
      <c r="D508" s="1753" t="s">
        <v>2530</v>
      </c>
      <c r="E508" s="1753" t="s">
        <v>2531</v>
      </c>
      <c r="F508" s="1753" t="s">
        <v>2522</v>
      </c>
      <c r="G508" s="1753" t="s">
        <v>17</v>
      </c>
      <c r="H508" s="1753" t="s">
        <v>17</v>
      </c>
      <c r="I508" s="1753" t="s">
        <v>2246</v>
      </c>
      <c r="J508" t="s">
        <v>17</v>
      </c>
      <c r="K508" t="s">
        <v>3200</v>
      </c>
      <c r="L508" t="s">
        <v>3206</v>
      </c>
      <c r="M508" t="s">
        <v>3207</v>
      </c>
      <c r="N508" t="s">
        <v>393</v>
      </c>
    </row>
    <row r="509" spans="1:14" ht="11.25" customHeight="1">
      <c r="A509" s="1753" t="s">
        <v>2199</v>
      </c>
      <c r="B509" s="1753" t="s">
        <v>14</v>
      </c>
      <c r="C509" s="1753" t="s">
        <v>2529</v>
      </c>
      <c r="D509" s="1753" t="s">
        <v>2530</v>
      </c>
      <c r="E509" s="1753" t="s">
        <v>2531</v>
      </c>
      <c r="F509" s="1753" t="s">
        <v>2522</v>
      </c>
      <c r="G509" s="1753" t="s">
        <v>17</v>
      </c>
      <c r="H509" s="1753" t="s">
        <v>17</v>
      </c>
      <c r="I509" s="1753" t="s">
        <v>2246</v>
      </c>
      <c r="J509" t="s">
        <v>17</v>
      </c>
      <c r="K509" t="s">
        <v>3208</v>
      </c>
      <c r="L509" t="s">
        <v>3206</v>
      </c>
      <c r="M509" t="s">
        <v>3207</v>
      </c>
      <c r="N509" t="s">
        <v>393</v>
      </c>
    </row>
    <row r="510" spans="1:14" ht="11.25" customHeight="1">
      <c r="A510" s="1753" t="s">
        <v>2199</v>
      </c>
      <c r="B510" s="1753" t="s">
        <v>14</v>
      </c>
      <c r="C510" s="1753" t="s">
        <v>2536</v>
      </c>
      <c r="D510" s="1753" t="s">
        <v>2537</v>
      </c>
      <c r="E510" s="1753" t="s">
        <v>2538</v>
      </c>
      <c r="F510" s="1753" t="s">
        <v>2539</v>
      </c>
      <c r="G510" s="1753" t="s">
        <v>2540</v>
      </c>
      <c r="H510" s="1753" t="s">
        <v>17</v>
      </c>
      <c r="I510" s="1753" t="s">
        <v>2518</v>
      </c>
      <c r="J510" t="s">
        <v>17</v>
      </c>
      <c r="K510" t="s">
        <v>3200</v>
      </c>
      <c r="L510" t="s">
        <v>3206</v>
      </c>
      <c r="M510" t="s">
        <v>3207</v>
      </c>
      <c r="N510" t="s">
        <v>393</v>
      </c>
    </row>
    <row r="511" spans="1:14" ht="11.25" customHeight="1">
      <c r="A511" s="1753" t="s">
        <v>2199</v>
      </c>
      <c r="B511" s="1753" t="s">
        <v>14</v>
      </c>
      <c r="C511" s="1753" t="s">
        <v>2536</v>
      </c>
      <c r="D511" s="1753" t="s">
        <v>2537</v>
      </c>
      <c r="E511" s="1753" t="s">
        <v>2538</v>
      </c>
      <c r="F511" s="1753" t="s">
        <v>2539</v>
      </c>
      <c r="G511" s="1753" t="s">
        <v>2540</v>
      </c>
      <c r="H511" s="1753" t="s">
        <v>17</v>
      </c>
      <c r="I511" s="1753" t="s">
        <v>2518</v>
      </c>
      <c r="J511" t="s">
        <v>17</v>
      </c>
      <c r="K511" t="s">
        <v>3208</v>
      </c>
      <c r="L511" t="s">
        <v>3206</v>
      </c>
      <c r="M511" t="s">
        <v>3207</v>
      </c>
      <c r="N511" t="s">
        <v>393</v>
      </c>
    </row>
    <row r="512" spans="1:14" ht="11.25" customHeight="1">
      <c r="A512" s="1753" t="s">
        <v>2199</v>
      </c>
      <c r="B512" s="1753" t="s">
        <v>14</v>
      </c>
      <c r="C512" s="1753" t="s">
        <v>3297</v>
      </c>
      <c r="D512" s="1753" t="s">
        <v>3298</v>
      </c>
      <c r="E512" s="1753" t="s">
        <v>3299</v>
      </c>
      <c r="F512" s="1753" t="s">
        <v>3300</v>
      </c>
      <c r="G512" s="1753" t="s">
        <v>3301</v>
      </c>
      <c r="H512" s="1753" t="s">
        <v>17</v>
      </c>
      <c r="I512" s="1753" t="s">
        <v>2330</v>
      </c>
      <c r="J512" t="s">
        <v>17</v>
      </c>
      <c r="K512" t="s">
        <v>3208</v>
      </c>
      <c r="L512" t="s">
        <v>3227</v>
      </c>
      <c r="M512" t="s">
        <v>3302</v>
      </c>
      <c r="N512" t="s">
        <v>393</v>
      </c>
    </row>
    <row r="513" spans="1:14" ht="11.25" customHeight="1">
      <c r="A513" s="1753" t="s">
        <v>2199</v>
      </c>
      <c r="B513" s="1753" t="s">
        <v>14</v>
      </c>
      <c r="C513" s="1753" t="s">
        <v>3303</v>
      </c>
      <c r="D513" s="1753" t="s">
        <v>3304</v>
      </c>
      <c r="E513" s="1753" t="s">
        <v>3305</v>
      </c>
      <c r="F513" s="1753" t="s">
        <v>2457</v>
      </c>
      <c r="G513" s="1753" t="s">
        <v>17</v>
      </c>
      <c r="H513" s="1753" t="s">
        <v>17</v>
      </c>
      <c r="I513" s="1753" t="s">
        <v>2330</v>
      </c>
      <c r="J513" t="s">
        <v>17</v>
      </c>
      <c r="K513" t="s">
        <v>3208</v>
      </c>
      <c r="L513" t="s">
        <v>3287</v>
      </c>
      <c r="M513" t="s">
        <v>3306</v>
      </c>
      <c r="N513" t="s">
        <v>393</v>
      </c>
    </row>
    <row r="514" spans="1:14" ht="11.25" customHeight="1">
      <c r="A514" s="1753" t="s">
        <v>2199</v>
      </c>
      <c r="B514" s="1753" t="s">
        <v>14</v>
      </c>
      <c r="C514" s="1753" t="s">
        <v>3307</v>
      </c>
      <c r="D514" s="1753" t="s">
        <v>3308</v>
      </c>
      <c r="E514" s="1753" t="s">
        <v>3309</v>
      </c>
      <c r="F514" s="1753" t="s">
        <v>2603</v>
      </c>
      <c r="G514" s="1753" t="s">
        <v>17</v>
      </c>
      <c r="H514" s="1753" t="s">
        <v>17</v>
      </c>
      <c r="I514" s="1753" t="s">
        <v>2330</v>
      </c>
      <c r="J514" t="s">
        <v>17</v>
      </c>
      <c r="K514" t="s">
        <v>3200</v>
      </c>
      <c r="L514" t="s">
        <v>3206</v>
      </c>
      <c r="M514" t="s">
        <v>3207</v>
      </c>
      <c r="N514" t="s">
        <v>393</v>
      </c>
    </row>
    <row r="515" spans="1:14" ht="11.25" customHeight="1">
      <c r="A515" s="1753" t="s">
        <v>2199</v>
      </c>
      <c r="B515" s="1753" t="s">
        <v>14</v>
      </c>
      <c r="C515" s="1753" t="s">
        <v>3307</v>
      </c>
      <c r="D515" s="1753" t="s">
        <v>3308</v>
      </c>
      <c r="E515" s="1753" t="s">
        <v>3309</v>
      </c>
      <c r="F515" s="1753" t="s">
        <v>2603</v>
      </c>
      <c r="G515" s="1753" t="s">
        <v>17</v>
      </c>
      <c r="H515" s="1753" t="s">
        <v>17</v>
      </c>
      <c r="I515" s="1753" t="s">
        <v>2330</v>
      </c>
      <c r="J515" t="s">
        <v>17</v>
      </c>
      <c r="K515" t="s">
        <v>3208</v>
      </c>
      <c r="L515" t="s">
        <v>3206</v>
      </c>
      <c r="M515" t="s">
        <v>3207</v>
      </c>
      <c r="N515" t="s">
        <v>393</v>
      </c>
    </row>
    <row r="516" spans="1:14" ht="11.25" customHeight="1">
      <c r="A516" s="1753" t="s">
        <v>2199</v>
      </c>
      <c r="B516" s="1753" t="s">
        <v>14</v>
      </c>
      <c r="C516" s="1753" t="s">
        <v>3310</v>
      </c>
      <c r="D516" s="1753" t="s">
        <v>3311</v>
      </c>
      <c r="E516" s="1753" t="s">
        <v>3312</v>
      </c>
      <c r="F516" s="1753" t="s">
        <v>2746</v>
      </c>
      <c r="G516" s="1753" t="s">
        <v>17</v>
      </c>
      <c r="H516" s="1753" t="s">
        <v>17</v>
      </c>
      <c r="I516" s="1753" t="s">
        <v>3226</v>
      </c>
      <c r="J516" t="s">
        <v>17</v>
      </c>
      <c r="K516" t="s">
        <v>3200</v>
      </c>
      <c r="L516" t="s">
        <v>3206</v>
      </c>
      <c r="M516" t="s">
        <v>3207</v>
      </c>
      <c r="N516" t="s">
        <v>393</v>
      </c>
    </row>
    <row r="517" spans="1:14" ht="11.25" customHeight="1">
      <c r="A517" s="1753" t="s">
        <v>2199</v>
      </c>
      <c r="B517" s="1753" t="s">
        <v>14</v>
      </c>
      <c r="C517" s="1753" t="s">
        <v>3310</v>
      </c>
      <c r="D517" s="1753" t="s">
        <v>3311</v>
      </c>
      <c r="E517" s="1753" t="s">
        <v>3312</v>
      </c>
      <c r="F517" s="1753" t="s">
        <v>2746</v>
      </c>
      <c r="G517" s="1753" t="s">
        <v>17</v>
      </c>
      <c r="H517" s="1753" t="s">
        <v>17</v>
      </c>
      <c r="I517" s="1753" t="s">
        <v>3226</v>
      </c>
      <c r="J517" t="s">
        <v>17</v>
      </c>
      <c r="K517" t="s">
        <v>3208</v>
      </c>
      <c r="L517" t="s">
        <v>3206</v>
      </c>
      <c r="M517" t="s">
        <v>3207</v>
      </c>
      <c r="N517" t="s">
        <v>393</v>
      </c>
    </row>
    <row r="518" spans="1:14" ht="11.25" customHeight="1">
      <c r="A518" s="1753" t="s">
        <v>2199</v>
      </c>
      <c r="B518" s="1753" t="s">
        <v>14</v>
      </c>
      <c r="C518" s="1753" t="s">
        <v>2542</v>
      </c>
      <c r="D518" s="1753" t="s">
        <v>2543</v>
      </c>
      <c r="E518" s="1753" t="s">
        <v>2544</v>
      </c>
      <c r="F518" s="1753" t="s">
        <v>2245</v>
      </c>
      <c r="G518" s="1753" t="s">
        <v>17</v>
      </c>
      <c r="H518" s="1753" t="s">
        <v>17</v>
      </c>
      <c r="I518" s="1753" t="s">
        <v>2246</v>
      </c>
      <c r="J518" t="s">
        <v>17</v>
      </c>
      <c r="K518" t="s">
        <v>3200</v>
      </c>
      <c r="L518" t="s">
        <v>3206</v>
      </c>
      <c r="M518" t="s">
        <v>3207</v>
      </c>
      <c r="N518" t="s">
        <v>393</v>
      </c>
    </row>
    <row r="519" spans="1:14" ht="11.25" customHeight="1">
      <c r="A519" s="1753" t="s">
        <v>2199</v>
      </c>
      <c r="B519" s="1753" t="s">
        <v>14</v>
      </c>
      <c r="C519" s="1753" t="s">
        <v>2542</v>
      </c>
      <c r="D519" s="1753" t="s">
        <v>2543</v>
      </c>
      <c r="E519" s="1753" t="s">
        <v>2544</v>
      </c>
      <c r="F519" s="1753" t="s">
        <v>2245</v>
      </c>
      <c r="G519" s="1753" t="s">
        <v>17</v>
      </c>
      <c r="H519" s="1753" t="s">
        <v>17</v>
      </c>
      <c r="I519" s="1753" t="s">
        <v>2246</v>
      </c>
      <c r="J519" t="s">
        <v>17</v>
      </c>
      <c r="K519" t="s">
        <v>3208</v>
      </c>
      <c r="L519" t="s">
        <v>3206</v>
      </c>
      <c r="M519" t="s">
        <v>3207</v>
      </c>
      <c r="N519" t="s">
        <v>393</v>
      </c>
    </row>
    <row r="520" spans="1:14" ht="11.25" customHeight="1">
      <c r="A520" s="1753" t="s">
        <v>2199</v>
      </c>
      <c r="B520" s="1753" t="s">
        <v>14</v>
      </c>
      <c r="C520" s="1753" t="s">
        <v>2545</v>
      </c>
      <c r="D520" s="1753" t="s">
        <v>2546</v>
      </c>
      <c r="E520" s="1753" t="s">
        <v>2547</v>
      </c>
      <c r="F520" s="1753" t="s">
        <v>2548</v>
      </c>
      <c r="G520" s="1753" t="s">
        <v>17</v>
      </c>
      <c r="H520" s="1753" t="s">
        <v>17</v>
      </c>
      <c r="I520" s="1753" t="s">
        <v>2330</v>
      </c>
      <c r="J520" t="s">
        <v>17</v>
      </c>
      <c r="K520" t="s">
        <v>3200</v>
      </c>
      <c r="L520" t="s">
        <v>3206</v>
      </c>
      <c r="M520" t="s">
        <v>3207</v>
      </c>
      <c r="N520" t="s">
        <v>393</v>
      </c>
    </row>
    <row r="521" spans="1:14" ht="11.25" customHeight="1">
      <c r="A521" s="1753" t="s">
        <v>2199</v>
      </c>
      <c r="B521" s="1753" t="s">
        <v>14</v>
      </c>
      <c r="C521" s="1753" t="s">
        <v>2545</v>
      </c>
      <c r="D521" s="1753" t="s">
        <v>2546</v>
      </c>
      <c r="E521" s="1753" t="s">
        <v>2547</v>
      </c>
      <c r="F521" s="1753" t="s">
        <v>2548</v>
      </c>
      <c r="G521" s="1753" t="s">
        <v>17</v>
      </c>
      <c r="H521" s="1753" t="s">
        <v>17</v>
      </c>
      <c r="I521" s="1753" t="s">
        <v>2330</v>
      </c>
      <c r="J521" t="s">
        <v>17</v>
      </c>
      <c r="K521" t="s">
        <v>3208</v>
      </c>
      <c r="L521" t="s">
        <v>3206</v>
      </c>
      <c r="M521" t="s">
        <v>3207</v>
      </c>
      <c r="N521" t="s">
        <v>393</v>
      </c>
    </row>
    <row r="522" spans="1:14" ht="11.25" customHeight="1">
      <c r="A522" s="1753" t="s">
        <v>2199</v>
      </c>
      <c r="B522" s="1753" t="s">
        <v>14</v>
      </c>
      <c r="C522" s="1753" t="s">
        <v>2549</v>
      </c>
      <c r="D522" s="1753" t="s">
        <v>2550</v>
      </c>
      <c r="E522" s="1753" t="s">
        <v>2551</v>
      </c>
      <c r="F522" s="1753" t="s">
        <v>2552</v>
      </c>
      <c r="G522" s="1753" t="s">
        <v>17</v>
      </c>
      <c r="H522" s="1753" t="s">
        <v>17</v>
      </c>
      <c r="I522" s="1753" t="s">
        <v>2246</v>
      </c>
      <c r="J522" t="s">
        <v>17</v>
      </c>
      <c r="K522" t="s">
        <v>3200</v>
      </c>
      <c r="L522" t="s">
        <v>3206</v>
      </c>
      <c r="M522" t="s">
        <v>3207</v>
      </c>
      <c r="N522" t="s">
        <v>393</v>
      </c>
    </row>
    <row r="523" spans="1:14" ht="11.25" customHeight="1">
      <c r="A523" s="1753" t="s">
        <v>2199</v>
      </c>
      <c r="B523" s="1753" t="s">
        <v>14</v>
      </c>
      <c r="C523" s="1753" t="s">
        <v>2549</v>
      </c>
      <c r="D523" s="1753" t="s">
        <v>2550</v>
      </c>
      <c r="E523" s="1753" t="s">
        <v>2551</v>
      </c>
      <c r="F523" s="1753" t="s">
        <v>2552</v>
      </c>
      <c r="G523" s="1753" t="s">
        <v>17</v>
      </c>
      <c r="H523" s="1753" t="s">
        <v>17</v>
      </c>
      <c r="I523" s="1753" t="s">
        <v>2246</v>
      </c>
      <c r="J523" t="s">
        <v>17</v>
      </c>
      <c r="K523" t="s">
        <v>3208</v>
      </c>
      <c r="L523" t="s">
        <v>3206</v>
      </c>
      <c r="M523" t="s">
        <v>3207</v>
      </c>
      <c r="N523" t="s">
        <v>393</v>
      </c>
    </row>
    <row r="524" spans="1:14" ht="11.25" customHeight="1">
      <c r="A524" s="1753" t="s">
        <v>2199</v>
      </c>
      <c r="B524" s="1753" t="s">
        <v>14</v>
      </c>
      <c r="C524" s="1753" t="s">
        <v>3313</v>
      </c>
      <c r="D524" s="1753" t="s">
        <v>3314</v>
      </c>
      <c r="E524" s="1753" t="s">
        <v>3315</v>
      </c>
      <c r="F524" s="1753" t="s">
        <v>2255</v>
      </c>
      <c r="G524" s="1753" t="s">
        <v>17</v>
      </c>
      <c r="H524" s="1753" t="s">
        <v>17</v>
      </c>
      <c r="I524" s="1753" t="s">
        <v>2246</v>
      </c>
      <c r="J524" t="s">
        <v>17</v>
      </c>
      <c r="K524" t="s">
        <v>3200</v>
      </c>
      <c r="L524" t="s">
        <v>3201</v>
      </c>
      <c r="M524" t="s">
        <v>3202</v>
      </c>
      <c r="N524" t="s">
        <v>393</v>
      </c>
    </row>
    <row r="525" spans="1:14" ht="11.25" customHeight="1">
      <c r="A525" s="1753" t="s">
        <v>2199</v>
      </c>
      <c r="B525" s="1753" t="s">
        <v>14</v>
      </c>
      <c r="C525" s="1753" t="s">
        <v>3316</v>
      </c>
      <c r="D525" s="1753" t="s">
        <v>3317</v>
      </c>
      <c r="E525" s="1753" t="s">
        <v>3318</v>
      </c>
      <c r="F525" s="1753" t="s">
        <v>2922</v>
      </c>
      <c r="G525" s="1753" t="s">
        <v>17</v>
      </c>
      <c r="H525" s="1753" t="s">
        <v>17</v>
      </c>
      <c r="I525" s="1753" t="s">
        <v>2330</v>
      </c>
      <c r="J525" t="s">
        <v>17</v>
      </c>
      <c r="K525" t="s">
        <v>3200</v>
      </c>
      <c r="L525" t="s">
        <v>3295</v>
      </c>
      <c r="M525" t="s">
        <v>3319</v>
      </c>
      <c r="N525" t="s">
        <v>393</v>
      </c>
    </row>
    <row r="526" spans="1:14" ht="11.25" customHeight="1">
      <c r="A526" s="1753" t="s">
        <v>2199</v>
      </c>
      <c r="B526" s="1753" t="s">
        <v>14</v>
      </c>
      <c r="C526" s="1753" t="s">
        <v>3316</v>
      </c>
      <c r="D526" s="1753" t="s">
        <v>3317</v>
      </c>
      <c r="E526" s="1753" t="s">
        <v>3318</v>
      </c>
      <c r="F526" s="1753" t="s">
        <v>2922</v>
      </c>
      <c r="G526" s="1753" t="s">
        <v>17</v>
      </c>
      <c r="H526" s="1753" t="s">
        <v>17</v>
      </c>
      <c r="I526" s="1753" t="s">
        <v>2330</v>
      </c>
      <c r="J526" t="s">
        <v>17</v>
      </c>
      <c r="K526" t="s">
        <v>3208</v>
      </c>
      <c r="L526" t="s">
        <v>3295</v>
      </c>
      <c r="M526" t="s">
        <v>3319</v>
      </c>
      <c r="N526" t="s">
        <v>393</v>
      </c>
    </row>
    <row r="527" spans="1:14" ht="11.25" customHeight="1">
      <c r="A527" s="1753" t="s">
        <v>2199</v>
      </c>
      <c r="B527" s="1753" t="s">
        <v>14</v>
      </c>
      <c r="C527" s="1753" t="s">
        <v>3320</v>
      </c>
      <c r="D527" s="1753" t="s">
        <v>3321</v>
      </c>
      <c r="E527" s="1753" t="s">
        <v>3322</v>
      </c>
      <c r="F527" s="1753" t="s">
        <v>2420</v>
      </c>
      <c r="G527" s="1753" t="s">
        <v>3323</v>
      </c>
      <c r="H527" s="1753" t="s">
        <v>17</v>
      </c>
      <c r="I527" s="1753" t="s">
        <v>2330</v>
      </c>
      <c r="J527" t="s">
        <v>17</v>
      </c>
      <c r="K527" t="s">
        <v>3200</v>
      </c>
      <c r="L527" t="s">
        <v>3287</v>
      </c>
      <c r="M527" t="s">
        <v>3324</v>
      </c>
      <c r="N527" t="s">
        <v>393</v>
      </c>
    </row>
    <row r="528" spans="1:14" ht="11.25" customHeight="1">
      <c r="A528" s="1753" t="s">
        <v>2199</v>
      </c>
      <c r="B528" s="1753" t="s">
        <v>14</v>
      </c>
      <c r="C528" s="1753" t="s">
        <v>2553</v>
      </c>
      <c r="D528" s="1753" t="s">
        <v>2554</v>
      </c>
      <c r="E528" s="1753" t="s">
        <v>2555</v>
      </c>
      <c r="F528" s="1753" t="s">
        <v>2556</v>
      </c>
      <c r="G528" s="1753" t="s">
        <v>17</v>
      </c>
      <c r="H528" s="1753" t="s">
        <v>17</v>
      </c>
      <c r="I528" s="1753" t="s">
        <v>2492</v>
      </c>
      <c r="J528" t="s">
        <v>17</v>
      </c>
      <c r="K528" t="s">
        <v>3200</v>
      </c>
      <c r="L528" t="s">
        <v>3206</v>
      </c>
      <c r="M528" t="s">
        <v>3207</v>
      </c>
      <c r="N528" t="s">
        <v>393</v>
      </c>
    </row>
    <row r="529" spans="1:14" ht="11.25" customHeight="1">
      <c r="A529" s="1753" t="s">
        <v>2199</v>
      </c>
      <c r="B529" s="1753" t="s">
        <v>14</v>
      </c>
      <c r="C529" s="1753" t="s">
        <v>2553</v>
      </c>
      <c r="D529" s="1753" t="s">
        <v>2554</v>
      </c>
      <c r="E529" s="1753" t="s">
        <v>2555</v>
      </c>
      <c r="F529" s="1753" t="s">
        <v>2556</v>
      </c>
      <c r="G529" s="1753" t="s">
        <v>17</v>
      </c>
      <c r="H529" s="1753" t="s">
        <v>17</v>
      </c>
      <c r="I529" s="1753" t="s">
        <v>2492</v>
      </c>
      <c r="J529" t="s">
        <v>17</v>
      </c>
      <c r="K529" t="s">
        <v>3208</v>
      </c>
      <c r="L529" t="s">
        <v>3206</v>
      </c>
      <c r="M529" t="s">
        <v>3207</v>
      </c>
      <c r="N529" t="s">
        <v>393</v>
      </c>
    </row>
    <row r="530" spans="1:14" ht="11.25" customHeight="1">
      <c r="A530" s="1753" t="s">
        <v>2199</v>
      </c>
      <c r="B530" s="1753" t="s">
        <v>14</v>
      </c>
      <c r="C530" s="1753" t="s">
        <v>3325</v>
      </c>
      <c r="D530" s="1753" t="s">
        <v>3326</v>
      </c>
      <c r="E530" s="1753" t="s">
        <v>3327</v>
      </c>
      <c r="F530" s="1753" t="s">
        <v>2632</v>
      </c>
      <c r="G530" s="1753" t="s">
        <v>17</v>
      </c>
      <c r="H530" s="1753" t="s">
        <v>17</v>
      </c>
      <c r="I530" s="1753" t="s">
        <v>2330</v>
      </c>
      <c r="J530" t="s">
        <v>17</v>
      </c>
      <c r="K530" t="s">
        <v>3200</v>
      </c>
      <c r="L530" t="s">
        <v>3206</v>
      </c>
      <c r="M530" t="s">
        <v>3207</v>
      </c>
      <c r="N530" t="s">
        <v>393</v>
      </c>
    </row>
    <row r="531" spans="1:14" ht="11.25" customHeight="1">
      <c r="A531" s="1753" t="s">
        <v>2199</v>
      </c>
      <c r="B531" s="1753" t="s">
        <v>14</v>
      </c>
      <c r="C531" s="1753" t="s">
        <v>3325</v>
      </c>
      <c r="D531" s="1753" t="s">
        <v>3326</v>
      </c>
      <c r="E531" s="1753" t="s">
        <v>3327</v>
      </c>
      <c r="F531" s="1753" t="s">
        <v>2632</v>
      </c>
      <c r="G531" s="1753" t="s">
        <v>17</v>
      </c>
      <c r="H531" s="1753" t="s">
        <v>17</v>
      </c>
      <c r="I531" s="1753" t="s">
        <v>2330</v>
      </c>
      <c r="J531" t="s">
        <v>17</v>
      </c>
      <c r="K531" t="s">
        <v>3208</v>
      </c>
      <c r="L531" t="s">
        <v>3206</v>
      </c>
      <c r="M531" t="s">
        <v>3207</v>
      </c>
      <c r="N531" t="s">
        <v>393</v>
      </c>
    </row>
    <row r="532" spans="1:14" ht="11.25" customHeight="1">
      <c r="A532" s="1753" t="s">
        <v>2199</v>
      </c>
      <c r="B532" s="1753" t="s">
        <v>14</v>
      </c>
      <c r="C532" s="1753" t="s">
        <v>2557</v>
      </c>
      <c r="D532" s="1753" t="s">
        <v>2558</v>
      </c>
      <c r="E532" s="1753" t="s">
        <v>2559</v>
      </c>
      <c r="F532" s="1753" t="s">
        <v>2420</v>
      </c>
      <c r="G532" s="1753" t="s">
        <v>17</v>
      </c>
      <c r="H532" s="1753" t="s">
        <v>17</v>
      </c>
      <c r="I532" s="1753" t="s">
        <v>2330</v>
      </c>
      <c r="J532" t="s">
        <v>17</v>
      </c>
      <c r="K532" t="s">
        <v>3200</v>
      </c>
      <c r="L532" t="s">
        <v>3206</v>
      </c>
      <c r="M532" t="s">
        <v>3207</v>
      </c>
      <c r="N532" t="s">
        <v>393</v>
      </c>
    </row>
    <row r="533" spans="1:14" ht="11.25" customHeight="1">
      <c r="A533" s="1753" t="s">
        <v>2199</v>
      </c>
      <c r="B533" s="1753" t="s">
        <v>14</v>
      </c>
      <c r="C533" s="1753" t="s">
        <v>2557</v>
      </c>
      <c r="D533" s="1753" t="s">
        <v>2558</v>
      </c>
      <c r="E533" s="1753" t="s">
        <v>2559</v>
      </c>
      <c r="F533" s="1753" t="s">
        <v>2420</v>
      </c>
      <c r="G533" s="1753" t="s">
        <v>17</v>
      </c>
      <c r="H533" s="1753" t="s">
        <v>17</v>
      </c>
      <c r="I533" s="1753" t="s">
        <v>2330</v>
      </c>
      <c r="J533" t="s">
        <v>17</v>
      </c>
      <c r="K533" t="s">
        <v>3208</v>
      </c>
      <c r="L533" t="s">
        <v>3206</v>
      </c>
      <c r="M533" t="s">
        <v>3207</v>
      </c>
      <c r="N533" t="s">
        <v>393</v>
      </c>
    </row>
    <row r="534" spans="1:14" ht="11.25" customHeight="1">
      <c r="A534" s="1753" t="s">
        <v>2199</v>
      </c>
      <c r="B534" s="1753" t="s">
        <v>14</v>
      </c>
      <c r="C534" s="1753" t="s">
        <v>3328</v>
      </c>
      <c r="D534" s="1753" t="s">
        <v>3329</v>
      </c>
      <c r="E534" s="1753" t="s">
        <v>3330</v>
      </c>
      <c r="F534" s="1753" t="s">
        <v>2432</v>
      </c>
      <c r="G534" s="1753" t="s">
        <v>17</v>
      </c>
      <c r="H534" s="1753" t="s">
        <v>17</v>
      </c>
      <c r="I534" s="1753" t="s">
        <v>2330</v>
      </c>
      <c r="J534" t="s">
        <v>17</v>
      </c>
      <c r="K534" t="s">
        <v>3200</v>
      </c>
      <c r="L534" t="s">
        <v>3206</v>
      </c>
      <c r="M534" t="s">
        <v>3207</v>
      </c>
      <c r="N534" t="s">
        <v>393</v>
      </c>
    </row>
    <row r="535" spans="1:14" ht="11.25" customHeight="1">
      <c r="A535" s="1753" t="s">
        <v>2199</v>
      </c>
      <c r="B535" s="1753" t="s">
        <v>14</v>
      </c>
      <c r="C535" s="1753" t="s">
        <v>3328</v>
      </c>
      <c r="D535" s="1753" t="s">
        <v>3329</v>
      </c>
      <c r="E535" s="1753" t="s">
        <v>3330</v>
      </c>
      <c r="F535" s="1753" t="s">
        <v>2432</v>
      </c>
      <c r="G535" s="1753" t="s">
        <v>17</v>
      </c>
      <c r="H535" s="1753" t="s">
        <v>17</v>
      </c>
      <c r="I535" s="1753" t="s">
        <v>2330</v>
      </c>
      <c r="J535" t="s">
        <v>17</v>
      </c>
      <c r="K535" t="s">
        <v>3208</v>
      </c>
      <c r="L535" t="s">
        <v>3206</v>
      </c>
      <c r="M535" t="s">
        <v>3207</v>
      </c>
      <c r="N535" t="s">
        <v>393</v>
      </c>
    </row>
    <row r="536" spans="1:14" ht="11.25" customHeight="1">
      <c r="A536" s="1753" t="s">
        <v>2199</v>
      </c>
      <c r="B536" s="1753" t="s">
        <v>14</v>
      </c>
      <c r="C536" s="1753" t="s">
        <v>2560</v>
      </c>
      <c r="D536" s="1753" t="s">
        <v>2561</v>
      </c>
      <c r="E536" s="1753" t="s">
        <v>2562</v>
      </c>
      <c r="F536" s="1753" t="s">
        <v>2264</v>
      </c>
      <c r="G536" s="1753" t="s">
        <v>17</v>
      </c>
      <c r="H536" s="1753" t="s">
        <v>17</v>
      </c>
      <c r="I536" s="1753" t="s">
        <v>3331</v>
      </c>
      <c r="J536" t="s">
        <v>17</v>
      </c>
      <c r="K536" t="s">
        <v>3200</v>
      </c>
      <c r="L536" t="s">
        <v>3206</v>
      </c>
      <c r="M536" t="s">
        <v>3207</v>
      </c>
      <c r="N536" t="s">
        <v>393</v>
      </c>
    </row>
    <row r="537" spans="1:14" ht="11.25" customHeight="1">
      <c r="A537" s="1753" t="s">
        <v>2199</v>
      </c>
      <c r="B537" s="1753" t="s">
        <v>14</v>
      </c>
      <c r="C537" s="1753" t="s">
        <v>2560</v>
      </c>
      <c r="D537" s="1753" t="s">
        <v>2561</v>
      </c>
      <c r="E537" s="1753" t="s">
        <v>2562</v>
      </c>
      <c r="F537" s="1753" t="s">
        <v>2264</v>
      </c>
      <c r="G537" s="1753" t="s">
        <v>17</v>
      </c>
      <c r="H537" s="1753" t="s">
        <v>17</v>
      </c>
      <c r="I537" s="1753" t="s">
        <v>3331</v>
      </c>
      <c r="J537" t="s">
        <v>17</v>
      </c>
      <c r="K537" t="s">
        <v>3208</v>
      </c>
      <c r="L537" t="s">
        <v>3206</v>
      </c>
      <c r="M537" t="s">
        <v>3207</v>
      </c>
      <c r="N537" t="s">
        <v>393</v>
      </c>
    </row>
    <row r="538" spans="1:14" ht="11.25" customHeight="1">
      <c r="A538" s="1753" t="s">
        <v>2199</v>
      </c>
      <c r="B538" s="1753" t="s">
        <v>14</v>
      </c>
      <c r="C538" s="1753" t="s">
        <v>3332</v>
      </c>
      <c r="D538" s="1753" t="s">
        <v>3333</v>
      </c>
      <c r="E538" s="1753" t="s">
        <v>3334</v>
      </c>
      <c r="F538" s="1753" t="s">
        <v>2603</v>
      </c>
      <c r="G538" s="1753" t="s">
        <v>17</v>
      </c>
      <c r="H538" s="1753" t="s">
        <v>17</v>
      </c>
      <c r="I538" s="1753" t="s">
        <v>2330</v>
      </c>
      <c r="J538" t="s">
        <v>17</v>
      </c>
      <c r="K538" t="s">
        <v>3200</v>
      </c>
      <c r="L538" t="s">
        <v>3206</v>
      </c>
      <c r="M538" t="s">
        <v>3207</v>
      </c>
      <c r="N538" t="s">
        <v>393</v>
      </c>
    </row>
    <row r="539" spans="1:14" ht="11.25" customHeight="1">
      <c r="A539" s="1753" t="s">
        <v>2199</v>
      </c>
      <c r="B539" s="1753" t="s">
        <v>14</v>
      </c>
      <c r="C539" s="1753" t="s">
        <v>3332</v>
      </c>
      <c r="D539" s="1753" t="s">
        <v>3333</v>
      </c>
      <c r="E539" s="1753" t="s">
        <v>3334</v>
      </c>
      <c r="F539" s="1753" t="s">
        <v>2603</v>
      </c>
      <c r="G539" s="1753" t="s">
        <v>17</v>
      </c>
      <c r="H539" s="1753" t="s">
        <v>17</v>
      </c>
      <c r="I539" s="1753" t="s">
        <v>2330</v>
      </c>
      <c r="J539" t="s">
        <v>17</v>
      </c>
      <c r="K539" t="s">
        <v>3208</v>
      </c>
      <c r="L539" t="s">
        <v>3206</v>
      </c>
      <c r="M539" t="s">
        <v>3207</v>
      </c>
      <c r="N539" t="s">
        <v>393</v>
      </c>
    </row>
    <row r="540" spans="1:14" ht="11.25" customHeight="1">
      <c r="A540" s="1753" t="s">
        <v>2199</v>
      </c>
      <c r="B540" s="1753" t="s">
        <v>14</v>
      </c>
      <c r="C540" s="1753" t="s">
        <v>3335</v>
      </c>
      <c r="D540" s="1753" t="s">
        <v>3336</v>
      </c>
      <c r="E540" s="1753" t="s">
        <v>3337</v>
      </c>
      <c r="F540" s="1753" t="s">
        <v>2603</v>
      </c>
      <c r="G540" s="1753" t="s">
        <v>17</v>
      </c>
      <c r="H540" s="1753" t="s">
        <v>17</v>
      </c>
      <c r="I540" s="1753" t="s">
        <v>2330</v>
      </c>
      <c r="J540" t="s">
        <v>17</v>
      </c>
      <c r="K540" t="s">
        <v>3200</v>
      </c>
      <c r="L540" t="s">
        <v>3206</v>
      </c>
      <c r="M540" t="s">
        <v>3207</v>
      </c>
      <c r="N540" t="s">
        <v>393</v>
      </c>
    </row>
    <row r="541" spans="1:14" ht="11.25" customHeight="1">
      <c r="A541" s="1753" t="s">
        <v>2199</v>
      </c>
      <c r="B541" s="1753" t="s">
        <v>14</v>
      </c>
      <c r="C541" s="1753" t="s">
        <v>3335</v>
      </c>
      <c r="D541" s="1753" t="s">
        <v>3336</v>
      </c>
      <c r="E541" s="1753" t="s">
        <v>3337</v>
      </c>
      <c r="F541" s="1753" t="s">
        <v>2603</v>
      </c>
      <c r="G541" s="1753" t="s">
        <v>17</v>
      </c>
      <c r="H541" s="1753" t="s">
        <v>17</v>
      </c>
      <c r="I541" s="1753" t="s">
        <v>2330</v>
      </c>
      <c r="J541" t="s">
        <v>17</v>
      </c>
      <c r="K541" t="s">
        <v>3208</v>
      </c>
      <c r="L541" t="s">
        <v>3206</v>
      </c>
      <c r="M541" t="s">
        <v>3207</v>
      </c>
      <c r="N541" t="s">
        <v>393</v>
      </c>
    </row>
    <row r="542" spans="1:14" ht="11.25" customHeight="1">
      <c r="A542" s="1753" t="s">
        <v>2199</v>
      </c>
      <c r="B542" s="1753" t="s">
        <v>14</v>
      </c>
      <c r="C542" s="1753" t="s">
        <v>3338</v>
      </c>
      <c r="D542" s="1753" t="s">
        <v>3339</v>
      </c>
      <c r="E542" s="1753" t="s">
        <v>3340</v>
      </c>
      <c r="F542" s="1753" t="s">
        <v>2351</v>
      </c>
      <c r="G542" s="1753" t="s">
        <v>17</v>
      </c>
      <c r="H542" s="1753" t="s">
        <v>17</v>
      </c>
      <c r="I542" s="1753" t="s">
        <v>2214</v>
      </c>
      <c r="J542" t="s">
        <v>17</v>
      </c>
      <c r="K542" t="s">
        <v>3200</v>
      </c>
      <c r="L542" t="s">
        <v>3201</v>
      </c>
      <c r="M542" t="s">
        <v>3202</v>
      </c>
      <c r="N542" t="s">
        <v>393</v>
      </c>
    </row>
    <row r="543" spans="1:14" ht="11.25" customHeight="1">
      <c r="A543" s="1753" t="s">
        <v>2199</v>
      </c>
      <c r="B543" s="1753" t="s">
        <v>14</v>
      </c>
      <c r="C543" s="1753" t="s">
        <v>3341</v>
      </c>
      <c r="D543" s="1753" t="s">
        <v>3342</v>
      </c>
      <c r="E543" s="1753" t="s">
        <v>3343</v>
      </c>
      <c r="F543" s="1753" t="s">
        <v>2732</v>
      </c>
      <c r="G543" s="1753" t="s">
        <v>17</v>
      </c>
      <c r="H543" s="1753" t="s">
        <v>17</v>
      </c>
      <c r="I543" s="1753" t="s">
        <v>2330</v>
      </c>
      <c r="J543" t="s">
        <v>17</v>
      </c>
      <c r="K543" t="s">
        <v>3200</v>
      </c>
      <c r="L543" t="s">
        <v>3206</v>
      </c>
      <c r="M543" t="s">
        <v>3207</v>
      </c>
      <c r="N543" t="s">
        <v>393</v>
      </c>
    </row>
    <row r="544" spans="1:14" ht="11.25" customHeight="1">
      <c r="A544" s="1753" t="s">
        <v>2199</v>
      </c>
      <c r="B544" s="1753" t="s">
        <v>14</v>
      </c>
      <c r="C544" s="1753" t="s">
        <v>3341</v>
      </c>
      <c r="D544" s="1753" t="s">
        <v>3342</v>
      </c>
      <c r="E544" s="1753" t="s">
        <v>3343</v>
      </c>
      <c r="F544" s="1753" t="s">
        <v>2732</v>
      </c>
      <c r="G544" s="1753" t="s">
        <v>17</v>
      </c>
      <c r="H544" s="1753" t="s">
        <v>17</v>
      </c>
      <c r="I544" s="1753" t="s">
        <v>2330</v>
      </c>
      <c r="J544" t="s">
        <v>17</v>
      </c>
      <c r="K544" t="s">
        <v>3208</v>
      </c>
      <c r="L544" t="s">
        <v>3206</v>
      </c>
      <c r="M544" t="s">
        <v>3207</v>
      </c>
      <c r="N544" t="s">
        <v>393</v>
      </c>
    </row>
    <row r="545" spans="1:14" ht="11.25" customHeight="1">
      <c r="A545" s="1753" t="s">
        <v>2199</v>
      </c>
      <c r="B545" s="1753" t="s">
        <v>14</v>
      </c>
      <c r="C545" s="1753" t="s">
        <v>3344</v>
      </c>
      <c r="D545" s="1753" t="s">
        <v>3345</v>
      </c>
      <c r="E545" s="1753" t="s">
        <v>3346</v>
      </c>
      <c r="F545" s="1753" t="s">
        <v>2622</v>
      </c>
      <c r="G545" s="1753" t="s">
        <v>17</v>
      </c>
      <c r="H545" s="1753" t="s">
        <v>17</v>
      </c>
      <c r="I545" s="1753" t="s">
        <v>2330</v>
      </c>
      <c r="J545" t="s">
        <v>17</v>
      </c>
      <c r="K545" t="s">
        <v>3200</v>
      </c>
      <c r="L545" t="s">
        <v>3206</v>
      </c>
      <c r="M545" t="s">
        <v>3207</v>
      </c>
      <c r="N545" t="s">
        <v>393</v>
      </c>
    </row>
    <row r="546" spans="1:14" ht="11.25" customHeight="1">
      <c r="A546" s="1753" t="s">
        <v>2199</v>
      </c>
      <c r="B546" s="1753" t="s">
        <v>14</v>
      </c>
      <c r="C546" s="1753" t="s">
        <v>3344</v>
      </c>
      <c r="D546" s="1753" t="s">
        <v>3345</v>
      </c>
      <c r="E546" s="1753" t="s">
        <v>3346</v>
      </c>
      <c r="F546" s="1753" t="s">
        <v>2622</v>
      </c>
      <c r="G546" s="1753" t="s">
        <v>17</v>
      </c>
      <c r="H546" s="1753" t="s">
        <v>17</v>
      </c>
      <c r="I546" s="1753" t="s">
        <v>2330</v>
      </c>
      <c r="J546" t="s">
        <v>17</v>
      </c>
      <c r="K546" t="s">
        <v>3208</v>
      </c>
      <c r="L546" t="s">
        <v>3206</v>
      </c>
      <c r="M546" t="s">
        <v>3207</v>
      </c>
      <c r="N546" t="s">
        <v>393</v>
      </c>
    </row>
    <row r="547" spans="1:14" ht="11.25" customHeight="1">
      <c r="A547" s="1753" t="s">
        <v>2199</v>
      </c>
      <c r="B547" s="1753" t="s">
        <v>14</v>
      </c>
      <c r="C547" s="1753" t="s">
        <v>2568</v>
      </c>
      <c r="D547" s="1753" t="s">
        <v>2569</v>
      </c>
      <c r="E547" s="1753" t="s">
        <v>2570</v>
      </c>
      <c r="F547" s="1753" t="s">
        <v>2548</v>
      </c>
      <c r="G547" s="1753" t="s">
        <v>17</v>
      </c>
      <c r="H547" s="1753" t="s">
        <v>17</v>
      </c>
      <c r="I547" s="1753" t="s">
        <v>2330</v>
      </c>
      <c r="J547" t="s">
        <v>17</v>
      </c>
      <c r="K547" t="s">
        <v>3200</v>
      </c>
      <c r="L547" t="s">
        <v>3206</v>
      </c>
      <c r="M547" t="s">
        <v>3207</v>
      </c>
      <c r="N547" t="s">
        <v>393</v>
      </c>
    </row>
    <row r="548" spans="1:14" ht="11.25" customHeight="1">
      <c r="A548" s="1753" t="s">
        <v>2199</v>
      </c>
      <c r="B548" s="1753" t="s">
        <v>14</v>
      </c>
      <c r="C548" s="1753" t="s">
        <v>2568</v>
      </c>
      <c r="D548" s="1753" t="s">
        <v>2569</v>
      </c>
      <c r="E548" s="1753" t="s">
        <v>2570</v>
      </c>
      <c r="F548" s="1753" t="s">
        <v>2548</v>
      </c>
      <c r="G548" s="1753" t="s">
        <v>17</v>
      </c>
      <c r="H548" s="1753" t="s">
        <v>17</v>
      </c>
      <c r="I548" s="1753" t="s">
        <v>2330</v>
      </c>
      <c r="J548" t="s">
        <v>17</v>
      </c>
      <c r="K548" t="s">
        <v>3208</v>
      </c>
      <c r="L548" t="s">
        <v>3206</v>
      </c>
      <c r="M548" t="s">
        <v>3207</v>
      </c>
      <c r="N548" t="s">
        <v>393</v>
      </c>
    </row>
    <row r="549" spans="1:14" ht="11.25" customHeight="1">
      <c r="A549" s="1753" t="s">
        <v>2199</v>
      </c>
      <c r="B549" s="1753" t="s">
        <v>14</v>
      </c>
      <c r="C549" s="1753" t="s">
        <v>2571</v>
      </c>
      <c r="D549" s="1753" t="s">
        <v>2572</v>
      </c>
      <c r="E549" s="1753" t="s">
        <v>2573</v>
      </c>
      <c r="F549" s="1753" t="s">
        <v>2539</v>
      </c>
      <c r="G549" s="1753" t="s">
        <v>17</v>
      </c>
      <c r="H549" s="1753" t="s">
        <v>17</v>
      </c>
      <c r="I549" s="1753" t="s">
        <v>2330</v>
      </c>
      <c r="J549" t="s">
        <v>17</v>
      </c>
      <c r="K549" t="s">
        <v>3200</v>
      </c>
      <c r="L549" t="s">
        <v>3206</v>
      </c>
      <c r="M549" t="s">
        <v>3207</v>
      </c>
      <c r="N549" t="s">
        <v>393</v>
      </c>
    </row>
    <row r="550" spans="1:14" ht="11.25" customHeight="1">
      <c r="A550" s="1753" t="s">
        <v>2199</v>
      </c>
      <c r="B550" s="1753" t="s">
        <v>14</v>
      </c>
      <c r="C550" s="1753" t="s">
        <v>2571</v>
      </c>
      <c r="D550" s="1753" t="s">
        <v>2572</v>
      </c>
      <c r="E550" s="1753" t="s">
        <v>2573</v>
      </c>
      <c r="F550" s="1753" t="s">
        <v>2539</v>
      </c>
      <c r="G550" s="1753" t="s">
        <v>17</v>
      </c>
      <c r="H550" s="1753" t="s">
        <v>17</v>
      </c>
      <c r="I550" s="1753" t="s">
        <v>2330</v>
      </c>
      <c r="J550" t="s">
        <v>17</v>
      </c>
      <c r="K550" t="s">
        <v>3208</v>
      </c>
      <c r="L550" t="s">
        <v>3206</v>
      </c>
      <c r="M550" t="s">
        <v>3207</v>
      </c>
      <c r="N550" t="s">
        <v>393</v>
      </c>
    </row>
    <row r="551" spans="1:14" ht="11.25" customHeight="1">
      <c r="A551" s="1753" t="s">
        <v>2199</v>
      </c>
      <c r="B551" s="1753" t="s">
        <v>14</v>
      </c>
      <c r="C551" s="1753" t="s">
        <v>2574</v>
      </c>
      <c r="D551" s="1753" t="s">
        <v>2575</v>
      </c>
      <c r="E551" s="1753" t="s">
        <v>2576</v>
      </c>
      <c r="F551" s="1753" t="s">
        <v>2539</v>
      </c>
      <c r="G551" s="1753" t="s">
        <v>17</v>
      </c>
      <c r="H551" s="1753" t="s">
        <v>17</v>
      </c>
      <c r="I551" s="1753" t="s">
        <v>2330</v>
      </c>
      <c r="J551" t="s">
        <v>17</v>
      </c>
      <c r="K551" t="s">
        <v>3200</v>
      </c>
      <c r="L551" t="s">
        <v>3206</v>
      </c>
      <c r="M551" t="s">
        <v>3207</v>
      </c>
      <c r="N551" t="s">
        <v>393</v>
      </c>
    </row>
    <row r="552" spans="1:14" ht="11.25" customHeight="1">
      <c r="A552" s="1753" t="s">
        <v>2199</v>
      </c>
      <c r="B552" s="1753" t="s">
        <v>14</v>
      </c>
      <c r="C552" s="1753" t="s">
        <v>2574</v>
      </c>
      <c r="D552" s="1753" t="s">
        <v>2575</v>
      </c>
      <c r="E552" s="1753" t="s">
        <v>2576</v>
      </c>
      <c r="F552" s="1753" t="s">
        <v>2539</v>
      </c>
      <c r="G552" s="1753" t="s">
        <v>17</v>
      </c>
      <c r="H552" s="1753" t="s">
        <v>17</v>
      </c>
      <c r="I552" s="1753" t="s">
        <v>2330</v>
      </c>
      <c r="J552" t="s">
        <v>17</v>
      </c>
      <c r="K552" t="s">
        <v>3208</v>
      </c>
      <c r="L552" t="s">
        <v>3206</v>
      </c>
      <c r="M552" t="s">
        <v>3207</v>
      </c>
      <c r="N552" t="s">
        <v>393</v>
      </c>
    </row>
    <row r="553" spans="1:14" ht="11.25" customHeight="1">
      <c r="A553" s="1753" t="s">
        <v>2199</v>
      </c>
      <c r="B553" s="1753" t="s">
        <v>14</v>
      </c>
      <c r="C553" s="1753" t="s">
        <v>2577</v>
      </c>
      <c r="D553" s="1753" t="s">
        <v>2578</v>
      </c>
      <c r="E553" s="1753" t="s">
        <v>2579</v>
      </c>
      <c r="F553" s="1753" t="s">
        <v>2539</v>
      </c>
      <c r="G553" s="1753" t="s">
        <v>17</v>
      </c>
      <c r="H553" s="1753" t="s">
        <v>17</v>
      </c>
      <c r="I553" s="1753" t="s">
        <v>2330</v>
      </c>
      <c r="J553" t="s">
        <v>17</v>
      </c>
      <c r="K553" t="s">
        <v>3200</v>
      </c>
      <c r="L553" t="s">
        <v>3201</v>
      </c>
      <c r="M553" t="s">
        <v>3202</v>
      </c>
      <c r="N553" t="s">
        <v>393</v>
      </c>
    </row>
    <row r="554" spans="1:14" ht="11.25" customHeight="1">
      <c r="A554" s="1753" t="s">
        <v>2199</v>
      </c>
      <c r="B554" s="1753" t="s">
        <v>14</v>
      </c>
      <c r="C554" s="1753" t="s">
        <v>2580</v>
      </c>
      <c r="D554" s="1753" t="s">
        <v>2581</v>
      </c>
      <c r="E554" s="1753" t="s">
        <v>2582</v>
      </c>
      <c r="F554" s="1753" t="s">
        <v>2539</v>
      </c>
      <c r="G554" s="1753" t="s">
        <v>17</v>
      </c>
      <c r="H554" s="1753" t="s">
        <v>17</v>
      </c>
      <c r="I554" s="1753" t="s">
        <v>2330</v>
      </c>
      <c r="J554" t="s">
        <v>17</v>
      </c>
      <c r="K554" t="s">
        <v>3200</v>
      </c>
      <c r="L554" t="s">
        <v>3201</v>
      </c>
      <c r="M554" t="s">
        <v>3202</v>
      </c>
      <c r="N554" t="s">
        <v>393</v>
      </c>
    </row>
    <row r="555" spans="1:14" ht="11.25" customHeight="1">
      <c r="A555" s="1753" t="s">
        <v>2199</v>
      </c>
      <c r="B555" s="1753" t="s">
        <v>14</v>
      </c>
      <c r="C555" s="1753" t="s">
        <v>3347</v>
      </c>
      <c r="D555" s="1753" t="s">
        <v>3348</v>
      </c>
      <c r="E555" s="1753" t="s">
        <v>3349</v>
      </c>
      <c r="F555" s="1753" t="s">
        <v>2539</v>
      </c>
      <c r="G555" s="1753" t="s">
        <v>17</v>
      </c>
      <c r="H555" s="1753" t="s">
        <v>17</v>
      </c>
      <c r="I555" s="1753" t="s">
        <v>2330</v>
      </c>
      <c r="J555" t="s">
        <v>17</v>
      </c>
      <c r="K555" t="s">
        <v>3200</v>
      </c>
      <c r="L555" t="s">
        <v>3206</v>
      </c>
      <c r="M555" t="s">
        <v>3207</v>
      </c>
      <c r="N555" t="s">
        <v>393</v>
      </c>
    </row>
    <row r="556" spans="1:14" ht="11.25" customHeight="1">
      <c r="A556" s="1753" t="s">
        <v>2199</v>
      </c>
      <c r="B556" s="1753" t="s">
        <v>14</v>
      </c>
      <c r="C556" s="1753" t="s">
        <v>3347</v>
      </c>
      <c r="D556" s="1753" t="s">
        <v>3348</v>
      </c>
      <c r="E556" s="1753" t="s">
        <v>3349</v>
      </c>
      <c r="F556" s="1753" t="s">
        <v>2539</v>
      </c>
      <c r="G556" s="1753" t="s">
        <v>17</v>
      </c>
      <c r="H556" s="1753" t="s">
        <v>17</v>
      </c>
      <c r="I556" s="1753" t="s">
        <v>2330</v>
      </c>
      <c r="J556" t="s">
        <v>17</v>
      </c>
      <c r="K556" t="s">
        <v>3208</v>
      </c>
      <c r="L556" t="s">
        <v>3206</v>
      </c>
      <c r="M556" t="s">
        <v>3207</v>
      </c>
      <c r="N556" t="s">
        <v>393</v>
      </c>
    </row>
    <row r="557" spans="1:14" ht="11.25" customHeight="1">
      <c r="A557" s="1753" t="s">
        <v>2199</v>
      </c>
      <c r="B557" s="1753" t="s">
        <v>14</v>
      </c>
      <c r="C557" s="1753" t="s">
        <v>2583</v>
      </c>
      <c r="D557" s="1753" t="s">
        <v>2584</v>
      </c>
      <c r="E557" s="1753" t="s">
        <v>2585</v>
      </c>
      <c r="F557" s="1753" t="s">
        <v>2539</v>
      </c>
      <c r="G557" s="1753" t="s">
        <v>17</v>
      </c>
      <c r="H557" s="1753" t="s">
        <v>17</v>
      </c>
      <c r="I557" s="1753" t="s">
        <v>2330</v>
      </c>
      <c r="J557" t="s">
        <v>17</v>
      </c>
      <c r="K557" t="s">
        <v>3200</v>
      </c>
      <c r="L557" t="s">
        <v>3201</v>
      </c>
      <c r="M557" t="s">
        <v>3202</v>
      </c>
      <c r="N557" t="s">
        <v>393</v>
      </c>
    </row>
    <row r="558" spans="1:14" ht="11.25" customHeight="1">
      <c r="A558" s="1753" t="s">
        <v>2199</v>
      </c>
      <c r="B558" s="1753" t="s">
        <v>14</v>
      </c>
      <c r="C558" s="1753" t="s">
        <v>2586</v>
      </c>
      <c r="D558" s="1753" t="s">
        <v>2587</v>
      </c>
      <c r="E558" s="1753" t="s">
        <v>2588</v>
      </c>
      <c r="F558" s="1753" t="s">
        <v>2589</v>
      </c>
      <c r="G558" s="1753" t="s">
        <v>17</v>
      </c>
      <c r="H558" s="1753" t="s">
        <v>17</v>
      </c>
      <c r="I558" s="1753" t="s">
        <v>2246</v>
      </c>
      <c r="J558" t="s">
        <v>17</v>
      </c>
      <c r="K558" t="s">
        <v>3200</v>
      </c>
      <c r="L558" t="s">
        <v>3350</v>
      </c>
      <c r="M558" t="s">
        <v>3351</v>
      </c>
      <c r="N558" t="s">
        <v>393</v>
      </c>
    </row>
    <row r="559" spans="1:14" ht="11.25" customHeight="1">
      <c r="A559" s="1753" t="s">
        <v>2199</v>
      </c>
      <c r="B559" s="1753" t="s">
        <v>14</v>
      </c>
      <c r="C559" s="1753" t="s">
        <v>2586</v>
      </c>
      <c r="D559" s="1753" t="s">
        <v>2587</v>
      </c>
      <c r="E559" s="1753" t="s">
        <v>2588</v>
      </c>
      <c r="F559" s="1753" t="s">
        <v>2589</v>
      </c>
      <c r="G559" s="1753" t="s">
        <v>17</v>
      </c>
      <c r="H559" s="1753" t="s">
        <v>17</v>
      </c>
      <c r="I559" s="1753" t="s">
        <v>2246</v>
      </c>
      <c r="J559" t="s">
        <v>17</v>
      </c>
      <c r="K559" t="s">
        <v>3208</v>
      </c>
      <c r="L559" t="s">
        <v>3350</v>
      </c>
      <c r="M559" t="s">
        <v>3351</v>
      </c>
      <c r="N559" t="s">
        <v>393</v>
      </c>
    </row>
    <row r="560" spans="1:14" ht="11.25" customHeight="1">
      <c r="A560" s="1753" t="s">
        <v>2199</v>
      </c>
      <c r="B560" s="1753" t="s">
        <v>14</v>
      </c>
      <c r="C560" s="1753" t="s">
        <v>2590</v>
      </c>
      <c r="D560" s="1753" t="s">
        <v>2591</v>
      </c>
      <c r="E560" s="1753" t="s">
        <v>2592</v>
      </c>
      <c r="F560" s="1753" t="s">
        <v>2539</v>
      </c>
      <c r="G560" s="1753" t="s">
        <v>17</v>
      </c>
      <c r="H560" s="1753" t="s">
        <v>17</v>
      </c>
      <c r="I560" s="1753" t="s">
        <v>2330</v>
      </c>
      <c r="J560" t="s">
        <v>17</v>
      </c>
      <c r="K560" t="s">
        <v>3200</v>
      </c>
      <c r="L560" t="s">
        <v>3206</v>
      </c>
      <c r="M560" t="s">
        <v>3207</v>
      </c>
      <c r="N560" t="s">
        <v>393</v>
      </c>
    </row>
    <row r="561" spans="1:14" ht="11.25" customHeight="1">
      <c r="A561" s="1753" t="s">
        <v>2199</v>
      </c>
      <c r="B561" s="1753" t="s">
        <v>14</v>
      </c>
      <c r="C561" s="1753" t="s">
        <v>2590</v>
      </c>
      <c r="D561" s="1753" t="s">
        <v>2591</v>
      </c>
      <c r="E561" s="1753" t="s">
        <v>2592</v>
      </c>
      <c r="F561" s="1753" t="s">
        <v>2539</v>
      </c>
      <c r="G561" s="1753" t="s">
        <v>17</v>
      </c>
      <c r="H561" s="1753" t="s">
        <v>17</v>
      </c>
      <c r="I561" s="1753" t="s">
        <v>2330</v>
      </c>
      <c r="J561" t="s">
        <v>17</v>
      </c>
      <c r="K561" t="s">
        <v>3208</v>
      </c>
      <c r="L561" t="s">
        <v>3206</v>
      </c>
      <c r="M561" t="s">
        <v>3207</v>
      </c>
      <c r="N561" t="s">
        <v>393</v>
      </c>
    </row>
    <row r="562" spans="1:14" ht="11.25" customHeight="1">
      <c r="A562" s="1753" t="s">
        <v>2199</v>
      </c>
      <c r="B562" s="1753" t="s">
        <v>14</v>
      </c>
      <c r="C562" s="1753" t="s">
        <v>3352</v>
      </c>
      <c r="D562" s="1753" t="s">
        <v>3353</v>
      </c>
      <c r="E562" s="1753" t="s">
        <v>3354</v>
      </c>
      <c r="F562" s="1753" t="s">
        <v>2539</v>
      </c>
      <c r="G562" s="1753" t="s">
        <v>17</v>
      </c>
      <c r="H562" s="1753" t="s">
        <v>17</v>
      </c>
      <c r="I562" s="1753" t="s">
        <v>2330</v>
      </c>
      <c r="J562" t="s">
        <v>17</v>
      </c>
      <c r="K562" t="s">
        <v>3200</v>
      </c>
      <c r="L562" t="s">
        <v>3201</v>
      </c>
      <c r="M562" t="s">
        <v>3202</v>
      </c>
      <c r="N562" t="s">
        <v>393</v>
      </c>
    </row>
    <row r="563" spans="1:14" ht="11.25" customHeight="1">
      <c r="A563" s="1753" t="s">
        <v>2199</v>
      </c>
      <c r="B563" s="1753" t="s">
        <v>14</v>
      </c>
      <c r="C563" s="1753" t="s">
        <v>2593</v>
      </c>
      <c r="D563" s="1753" t="s">
        <v>2594</v>
      </c>
      <c r="E563" s="1753" t="s">
        <v>2595</v>
      </c>
      <c r="F563" s="1753" t="s">
        <v>2596</v>
      </c>
      <c r="G563" s="1753" t="s">
        <v>17</v>
      </c>
      <c r="H563" s="1753" t="s">
        <v>17</v>
      </c>
      <c r="I563" s="1753" t="s">
        <v>2330</v>
      </c>
      <c r="J563" t="s">
        <v>17</v>
      </c>
      <c r="K563" t="s">
        <v>3200</v>
      </c>
      <c r="L563" t="s">
        <v>3206</v>
      </c>
      <c r="M563" t="s">
        <v>3207</v>
      </c>
      <c r="N563" t="s">
        <v>393</v>
      </c>
    </row>
    <row r="564" spans="1:14" ht="11.25" customHeight="1">
      <c r="A564" s="1753" t="s">
        <v>2199</v>
      </c>
      <c r="B564" s="1753" t="s">
        <v>14</v>
      </c>
      <c r="C564" s="1753" t="s">
        <v>2593</v>
      </c>
      <c r="D564" s="1753" t="s">
        <v>2594</v>
      </c>
      <c r="E564" s="1753" t="s">
        <v>2595</v>
      </c>
      <c r="F564" s="1753" t="s">
        <v>2596</v>
      </c>
      <c r="G564" s="1753" t="s">
        <v>17</v>
      </c>
      <c r="H564" s="1753" t="s">
        <v>17</v>
      </c>
      <c r="I564" s="1753" t="s">
        <v>2330</v>
      </c>
      <c r="J564" t="s">
        <v>17</v>
      </c>
      <c r="K564" t="s">
        <v>3208</v>
      </c>
      <c r="L564" t="s">
        <v>3206</v>
      </c>
      <c r="M564" t="s">
        <v>3207</v>
      </c>
      <c r="N564" t="s">
        <v>393</v>
      </c>
    </row>
    <row r="565" spans="1:14" ht="11.25" customHeight="1">
      <c r="A565" s="1753" t="s">
        <v>2199</v>
      </c>
      <c r="B565" s="1753" t="s">
        <v>14</v>
      </c>
      <c r="C565" s="1753" t="s">
        <v>2597</v>
      </c>
      <c r="D565" s="1753" t="s">
        <v>2598</v>
      </c>
      <c r="E565" s="1753" t="s">
        <v>2599</v>
      </c>
      <c r="F565" s="1753" t="s">
        <v>2404</v>
      </c>
      <c r="G565" s="1753" t="s">
        <v>17</v>
      </c>
      <c r="H565" s="1753" t="s">
        <v>17</v>
      </c>
      <c r="I565" s="1753" t="s">
        <v>2818</v>
      </c>
      <c r="J565" t="s">
        <v>17</v>
      </c>
      <c r="K565" t="s">
        <v>3200</v>
      </c>
      <c r="L565" t="s">
        <v>3206</v>
      </c>
      <c r="M565" t="s">
        <v>3207</v>
      </c>
      <c r="N565" t="s">
        <v>393</v>
      </c>
    </row>
    <row r="566" spans="1:14" ht="11.25" customHeight="1">
      <c r="A566" s="1753" t="s">
        <v>2199</v>
      </c>
      <c r="B566" s="1753" t="s">
        <v>14</v>
      </c>
      <c r="C566" s="1753" t="s">
        <v>2597</v>
      </c>
      <c r="D566" s="1753" t="s">
        <v>2598</v>
      </c>
      <c r="E566" s="1753" t="s">
        <v>2599</v>
      </c>
      <c r="F566" s="1753" t="s">
        <v>2404</v>
      </c>
      <c r="G566" s="1753" t="s">
        <v>17</v>
      </c>
      <c r="H566" s="1753" t="s">
        <v>17</v>
      </c>
      <c r="I566" s="1753" t="s">
        <v>2818</v>
      </c>
      <c r="J566" t="s">
        <v>17</v>
      </c>
      <c r="K566" t="s">
        <v>3208</v>
      </c>
      <c r="L566" t="s">
        <v>3206</v>
      </c>
      <c r="M566" t="s">
        <v>3207</v>
      </c>
      <c r="N566" t="s">
        <v>393</v>
      </c>
    </row>
    <row r="567" spans="1:14" ht="11.25" customHeight="1">
      <c r="A567" s="1753" t="s">
        <v>2199</v>
      </c>
      <c r="B567" s="1753" t="s">
        <v>14</v>
      </c>
      <c r="C567" s="1753" t="s">
        <v>3355</v>
      </c>
      <c r="D567" s="1753" t="s">
        <v>3356</v>
      </c>
      <c r="E567" s="1753" t="s">
        <v>3357</v>
      </c>
      <c r="F567" s="1753" t="s">
        <v>2677</v>
      </c>
      <c r="G567" s="1753" t="s">
        <v>17</v>
      </c>
      <c r="H567" s="1753" t="s">
        <v>17</v>
      </c>
      <c r="I567" s="1753" t="s">
        <v>2330</v>
      </c>
      <c r="J567" t="s">
        <v>17</v>
      </c>
      <c r="K567" t="s">
        <v>3200</v>
      </c>
      <c r="L567" t="s">
        <v>3206</v>
      </c>
      <c r="M567" t="s">
        <v>3207</v>
      </c>
      <c r="N567" t="s">
        <v>393</v>
      </c>
    </row>
    <row r="568" spans="1:14" ht="11.25" customHeight="1">
      <c r="A568" s="1753" t="s">
        <v>2199</v>
      </c>
      <c r="B568" s="1753" t="s">
        <v>14</v>
      </c>
      <c r="C568" s="1753" t="s">
        <v>3355</v>
      </c>
      <c r="D568" s="1753" t="s">
        <v>3356</v>
      </c>
      <c r="E568" s="1753" t="s">
        <v>3357</v>
      </c>
      <c r="F568" s="1753" t="s">
        <v>2677</v>
      </c>
      <c r="G568" s="1753" t="s">
        <v>17</v>
      </c>
      <c r="H568" s="1753" t="s">
        <v>17</v>
      </c>
      <c r="I568" s="1753" t="s">
        <v>2330</v>
      </c>
      <c r="J568" t="s">
        <v>17</v>
      </c>
      <c r="K568" t="s">
        <v>3208</v>
      </c>
      <c r="L568" t="s">
        <v>3206</v>
      </c>
      <c r="M568" t="s">
        <v>3207</v>
      </c>
      <c r="N568" t="s">
        <v>393</v>
      </c>
    </row>
    <row r="569" spans="1:14" ht="11.25" customHeight="1">
      <c r="A569" s="1753" t="s">
        <v>2199</v>
      </c>
      <c r="B569" s="1753" t="s">
        <v>14</v>
      </c>
      <c r="C569" s="1753" t="s">
        <v>2600</v>
      </c>
      <c r="D569" s="1753" t="s">
        <v>2601</v>
      </c>
      <c r="E569" s="1753" t="s">
        <v>2602</v>
      </c>
      <c r="F569" s="1753" t="s">
        <v>2603</v>
      </c>
      <c r="G569" s="1753" t="s">
        <v>17</v>
      </c>
      <c r="H569" s="1753" t="s">
        <v>17</v>
      </c>
      <c r="I569" s="1753" t="s">
        <v>2330</v>
      </c>
      <c r="J569" t="s">
        <v>17</v>
      </c>
      <c r="K569" t="s">
        <v>3200</v>
      </c>
      <c r="L569" t="s">
        <v>3206</v>
      </c>
      <c r="M569" t="s">
        <v>3207</v>
      </c>
      <c r="N569" t="s">
        <v>393</v>
      </c>
    </row>
    <row r="570" spans="1:14" ht="11.25" customHeight="1">
      <c r="A570" s="1753" t="s">
        <v>2199</v>
      </c>
      <c r="B570" s="1753" t="s">
        <v>14</v>
      </c>
      <c r="C570" s="1753" t="s">
        <v>2600</v>
      </c>
      <c r="D570" s="1753" t="s">
        <v>2601</v>
      </c>
      <c r="E570" s="1753" t="s">
        <v>2602</v>
      </c>
      <c r="F570" s="1753" t="s">
        <v>2603</v>
      </c>
      <c r="G570" s="1753" t="s">
        <v>17</v>
      </c>
      <c r="H570" s="1753" t="s">
        <v>17</v>
      </c>
      <c r="I570" s="1753" t="s">
        <v>2330</v>
      </c>
      <c r="J570" t="s">
        <v>17</v>
      </c>
      <c r="K570" t="s">
        <v>3208</v>
      </c>
      <c r="L570" t="s">
        <v>3206</v>
      </c>
      <c r="M570" t="s">
        <v>3207</v>
      </c>
      <c r="N570" t="s">
        <v>393</v>
      </c>
    </row>
    <row r="571" spans="1:14" ht="11.25" customHeight="1">
      <c r="A571" s="1753" t="s">
        <v>2199</v>
      </c>
      <c r="B571" s="1753" t="s">
        <v>14</v>
      </c>
      <c r="C571" s="1753" t="s">
        <v>2604</v>
      </c>
      <c r="D571" s="1753" t="s">
        <v>2605</v>
      </c>
      <c r="E571" s="1753" t="s">
        <v>2606</v>
      </c>
      <c r="F571" s="1753" t="s">
        <v>2245</v>
      </c>
      <c r="G571" s="1753" t="s">
        <v>17</v>
      </c>
      <c r="H571" s="1753" t="s">
        <v>17</v>
      </c>
      <c r="I571" s="1753" t="s">
        <v>2246</v>
      </c>
      <c r="J571" t="s">
        <v>17</v>
      </c>
      <c r="K571" t="s">
        <v>3200</v>
      </c>
      <c r="L571" t="s">
        <v>3206</v>
      </c>
      <c r="M571" t="s">
        <v>3207</v>
      </c>
      <c r="N571" t="s">
        <v>393</v>
      </c>
    </row>
    <row r="572" spans="1:14" ht="11.25" customHeight="1">
      <c r="A572" s="1753" t="s">
        <v>2199</v>
      </c>
      <c r="B572" s="1753" t="s">
        <v>14</v>
      </c>
      <c r="C572" s="1753" t="s">
        <v>2604</v>
      </c>
      <c r="D572" s="1753" t="s">
        <v>2605</v>
      </c>
      <c r="E572" s="1753" t="s">
        <v>2606</v>
      </c>
      <c r="F572" s="1753" t="s">
        <v>2245</v>
      </c>
      <c r="G572" s="1753" t="s">
        <v>17</v>
      </c>
      <c r="H572" s="1753" t="s">
        <v>17</v>
      </c>
      <c r="I572" s="1753" t="s">
        <v>2246</v>
      </c>
      <c r="J572" t="s">
        <v>17</v>
      </c>
      <c r="K572" t="s">
        <v>3208</v>
      </c>
      <c r="L572" t="s">
        <v>3206</v>
      </c>
      <c r="M572" t="s">
        <v>3207</v>
      </c>
      <c r="N572" t="s">
        <v>393</v>
      </c>
    </row>
    <row r="573" spans="1:14" ht="11.25" customHeight="1">
      <c r="A573" s="1753" t="s">
        <v>2199</v>
      </c>
      <c r="B573" s="1753" t="s">
        <v>14</v>
      </c>
      <c r="C573" s="1753" t="s">
        <v>3358</v>
      </c>
      <c r="D573" s="1753" t="s">
        <v>3359</v>
      </c>
      <c r="E573" s="1753" t="s">
        <v>3360</v>
      </c>
      <c r="F573" s="1753" t="s">
        <v>2639</v>
      </c>
      <c r="G573" s="1753" t="s">
        <v>17</v>
      </c>
      <c r="H573" s="1753" t="s">
        <v>17</v>
      </c>
      <c r="I573" s="1753" t="s">
        <v>2330</v>
      </c>
      <c r="J573" t="s">
        <v>17</v>
      </c>
      <c r="K573" t="s">
        <v>3200</v>
      </c>
      <c r="L573" t="s">
        <v>3206</v>
      </c>
      <c r="M573" t="s">
        <v>3207</v>
      </c>
      <c r="N573" t="s">
        <v>393</v>
      </c>
    </row>
    <row r="574" spans="1:14" ht="11.25" customHeight="1">
      <c r="A574" s="1753" t="s">
        <v>2199</v>
      </c>
      <c r="B574" s="1753" t="s">
        <v>14</v>
      </c>
      <c r="C574" s="1753" t="s">
        <v>3358</v>
      </c>
      <c r="D574" s="1753" t="s">
        <v>3359</v>
      </c>
      <c r="E574" s="1753" t="s">
        <v>3360</v>
      </c>
      <c r="F574" s="1753" t="s">
        <v>2639</v>
      </c>
      <c r="G574" s="1753" t="s">
        <v>17</v>
      </c>
      <c r="H574" s="1753" t="s">
        <v>17</v>
      </c>
      <c r="I574" s="1753" t="s">
        <v>2330</v>
      </c>
      <c r="J574" t="s">
        <v>17</v>
      </c>
      <c r="K574" t="s">
        <v>3208</v>
      </c>
      <c r="L574" t="s">
        <v>3206</v>
      </c>
      <c r="M574" t="s">
        <v>3207</v>
      </c>
      <c r="N574" t="s">
        <v>393</v>
      </c>
    </row>
    <row r="575" spans="1:14" ht="11.25" customHeight="1">
      <c r="A575" s="1753" t="s">
        <v>2199</v>
      </c>
      <c r="B575" s="1753" t="s">
        <v>14</v>
      </c>
      <c r="C575" s="1753" t="s">
        <v>3361</v>
      </c>
      <c r="D575" s="1753" t="s">
        <v>3362</v>
      </c>
      <c r="E575" s="1753" t="s">
        <v>3363</v>
      </c>
      <c r="F575" s="1753" t="s">
        <v>2603</v>
      </c>
      <c r="G575" s="1753" t="s">
        <v>17</v>
      </c>
      <c r="H575" s="1753" t="s">
        <v>17</v>
      </c>
      <c r="I575" s="1753" t="s">
        <v>2330</v>
      </c>
      <c r="J575" t="s">
        <v>17</v>
      </c>
      <c r="K575" t="s">
        <v>3200</v>
      </c>
      <c r="L575" t="s">
        <v>3206</v>
      </c>
      <c r="M575" t="s">
        <v>3207</v>
      </c>
      <c r="N575" t="s">
        <v>393</v>
      </c>
    </row>
    <row r="576" spans="1:14" ht="11.25" customHeight="1">
      <c r="A576" s="1753" t="s">
        <v>2199</v>
      </c>
      <c r="B576" s="1753" t="s">
        <v>14</v>
      </c>
      <c r="C576" s="1753" t="s">
        <v>3361</v>
      </c>
      <c r="D576" s="1753" t="s">
        <v>3362</v>
      </c>
      <c r="E576" s="1753" t="s">
        <v>3363</v>
      </c>
      <c r="F576" s="1753" t="s">
        <v>2603</v>
      </c>
      <c r="G576" s="1753" t="s">
        <v>17</v>
      </c>
      <c r="H576" s="1753" t="s">
        <v>17</v>
      </c>
      <c r="I576" s="1753" t="s">
        <v>2330</v>
      </c>
      <c r="J576" t="s">
        <v>17</v>
      </c>
      <c r="K576" t="s">
        <v>3208</v>
      </c>
      <c r="L576" t="s">
        <v>3206</v>
      </c>
      <c r="M576" t="s">
        <v>3207</v>
      </c>
      <c r="N576" t="s">
        <v>393</v>
      </c>
    </row>
    <row r="577" spans="1:14" ht="11.25" customHeight="1">
      <c r="A577" s="1753" t="s">
        <v>2199</v>
      </c>
      <c r="B577" s="1753" t="s">
        <v>14</v>
      </c>
      <c r="C577" s="1753" t="s">
        <v>2607</v>
      </c>
      <c r="D577" s="1753" t="s">
        <v>2608</v>
      </c>
      <c r="E577" s="1753" t="s">
        <v>2609</v>
      </c>
      <c r="F577" s="1753" t="s">
        <v>2603</v>
      </c>
      <c r="G577" s="1753" t="s">
        <v>17</v>
      </c>
      <c r="H577" s="1753" t="s">
        <v>17</v>
      </c>
      <c r="I577" s="1753" t="s">
        <v>2330</v>
      </c>
      <c r="J577" t="s">
        <v>17</v>
      </c>
      <c r="K577" t="s">
        <v>3200</v>
      </c>
      <c r="L577" t="s">
        <v>3206</v>
      </c>
      <c r="M577" t="s">
        <v>3207</v>
      </c>
      <c r="N577" t="s">
        <v>393</v>
      </c>
    </row>
    <row r="578" spans="1:14" ht="11.25" customHeight="1">
      <c r="A578" s="1753" t="s">
        <v>2199</v>
      </c>
      <c r="B578" s="1753" t="s">
        <v>14</v>
      </c>
      <c r="C578" s="1753" t="s">
        <v>2607</v>
      </c>
      <c r="D578" s="1753" t="s">
        <v>2608</v>
      </c>
      <c r="E578" s="1753" t="s">
        <v>2609</v>
      </c>
      <c r="F578" s="1753" t="s">
        <v>2603</v>
      </c>
      <c r="G578" s="1753" t="s">
        <v>17</v>
      </c>
      <c r="H578" s="1753" t="s">
        <v>17</v>
      </c>
      <c r="I578" s="1753" t="s">
        <v>2330</v>
      </c>
      <c r="J578" t="s">
        <v>17</v>
      </c>
      <c r="K578" t="s">
        <v>3208</v>
      </c>
      <c r="L578" t="s">
        <v>3206</v>
      </c>
      <c r="M578" t="s">
        <v>3207</v>
      </c>
      <c r="N578" t="s">
        <v>393</v>
      </c>
    </row>
    <row r="579" spans="1:14" ht="11.25" customHeight="1">
      <c r="A579" s="1753" t="s">
        <v>2199</v>
      </c>
      <c r="B579" s="1753" t="s">
        <v>14</v>
      </c>
      <c r="C579" s="1753" t="s">
        <v>3364</v>
      </c>
      <c r="D579" s="1753" t="s">
        <v>3365</v>
      </c>
      <c r="E579" s="1753" t="s">
        <v>3366</v>
      </c>
      <c r="F579" s="1753" t="s">
        <v>2408</v>
      </c>
      <c r="G579" s="1753" t="s">
        <v>17</v>
      </c>
      <c r="H579" s="1753" t="s">
        <v>17</v>
      </c>
      <c r="I579" s="1753" t="s">
        <v>2330</v>
      </c>
      <c r="J579" t="s">
        <v>17</v>
      </c>
      <c r="K579" t="s">
        <v>3200</v>
      </c>
      <c r="L579" t="s">
        <v>3295</v>
      </c>
      <c r="M579" t="s">
        <v>3367</v>
      </c>
      <c r="N579" t="s">
        <v>393</v>
      </c>
    </row>
    <row r="580" spans="1:14" ht="11.25" customHeight="1">
      <c r="A580" s="1753" t="s">
        <v>2199</v>
      </c>
      <c r="B580" s="1753" t="s">
        <v>14</v>
      </c>
      <c r="C580" s="1753" t="s">
        <v>3364</v>
      </c>
      <c r="D580" s="1753" t="s">
        <v>3365</v>
      </c>
      <c r="E580" s="1753" t="s">
        <v>3366</v>
      </c>
      <c r="F580" s="1753" t="s">
        <v>2408</v>
      </c>
      <c r="G580" s="1753" t="s">
        <v>17</v>
      </c>
      <c r="H580" s="1753" t="s">
        <v>17</v>
      </c>
      <c r="I580" s="1753" t="s">
        <v>2330</v>
      </c>
      <c r="J580" t="s">
        <v>17</v>
      </c>
      <c r="K580" t="s">
        <v>3208</v>
      </c>
      <c r="L580" t="s">
        <v>3295</v>
      </c>
      <c r="M580" t="s">
        <v>3367</v>
      </c>
      <c r="N580" t="s">
        <v>393</v>
      </c>
    </row>
    <row r="581" spans="1:14" ht="11.25" customHeight="1">
      <c r="A581" s="1753" t="s">
        <v>2199</v>
      </c>
      <c r="B581" s="1753" t="s">
        <v>14</v>
      </c>
      <c r="C581" s="1753" t="s">
        <v>2610</v>
      </c>
      <c r="D581" s="1753" t="s">
        <v>2611</v>
      </c>
      <c r="E581" s="1753" t="s">
        <v>2612</v>
      </c>
      <c r="F581" s="1753" t="s">
        <v>2589</v>
      </c>
      <c r="G581" s="1753" t="s">
        <v>17</v>
      </c>
      <c r="H581" s="1753" t="s">
        <v>17</v>
      </c>
      <c r="I581" s="1753" t="s">
        <v>2246</v>
      </c>
      <c r="J581" t="s">
        <v>17</v>
      </c>
      <c r="K581" t="s">
        <v>3200</v>
      </c>
      <c r="L581" t="s">
        <v>3368</v>
      </c>
      <c r="M581" t="s">
        <v>3369</v>
      </c>
      <c r="N581" t="s">
        <v>393</v>
      </c>
    </row>
    <row r="582" spans="1:14" ht="11.25" customHeight="1">
      <c r="A582" s="1753" t="s">
        <v>2199</v>
      </c>
      <c r="B582" s="1753" t="s">
        <v>14</v>
      </c>
      <c r="C582" s="1753" t="s">
        <v>2610</v>
      </c>
      <c r="D582" s="1753" t="s">
        <v>2611</v>
      </c>
      <c r="E582" s="1753" t="s">
        <v>2612</v>
      </c>
      <c r="F582" s="1753" t="s">
        <v>2589</v>
      </c>
      <c r="G582" s="1753" t="s">
        <v>17</v>
      </c>
      <c r="H582" s="1753" t="s">
        <v>17</v>
      </c>
      <c r="I582" s="1753" t="s">
        <v>2246</v>
      </c>
      <c r="J582" t="s">
        <v>17</v>
      </c>
      <c r="K582" t="s">
        <v>3208</v>
      </c>
      <c r="L582" t="s">
        <v>3368</v>
      </c>
      <c r="M582" t="s">
        <v>3369</v>
      </c>
      <c r="N582" t="s">
        <v>393</v>
      </c>
    </row>
    <row r="583" spans="1:14" ht="11.25" customHeight="1">
      <c r="A583" s="1753" t="s">
        <v>2199</v>
      </c>
      <c r="B583" s="1753" t="s">
        <v>14</v>
      </c>
      <c r="C583" s="1753" t="s">
        <v>2613</v>
      </c>
      <c r="D583" s="1753" t="s">
        <v>2614</v>
      </c>
      <c r="E583" s="1753" t="s">
        <v>2615</v>
      </c>
      <c r="F583" s="1753" t="s">
        <v>2245</v>
      </c>
      <c r="G583" s="1753" t="s">
        <v>17</v>
      </c>
      <c r="H583" s="1753" t="s">
        <v>17</v>
      </c>
      <c r="I583" s="1753" t="s">
        <v>2246</v>
      </c>
      <c r="J583" t="s">
        <v>17</v>
      </c>
      <c r="K583" t="s">
        <v>3208</v>
      </c>
      <c r="L583" t="s">
        <v>3287</v>
      </c>
      <c r="M583" t="s">
        <v>3306</v>
      </c>
      <c r="N583" t="s">
        <v>393</v>
      </c>
    </row>
    <row r="584" spans="1:14" ht="11.25" customHeight="1">
      <c r="A584" s="1753" t="s">
        <v>2199</v>
      </c>
      <c r="B584" s="1753" t="s">
        <v>14</v>
      </c>
      <c r="C584" s="1753" t="s">
        <v>3370</v>
      </c>
      <c r="D584" s="1753" t="s">
        <v>3371</v>
      </c>
      <c r="E584" s="1753" t="s">
        <v>3372</v>
      </c>
      <c r="F584" s="1753" t="s">
        <v>2603</v>
      </c>
      <c r="G584" s="1753" t="s">
        <v>17</v>
      </c>
      <c r="H584" s="1753" t="s">
        <v>17</v>
      </c>
      <c r="I584" s="1753" t="s">
        <v>2330</v>
      </c>
      <c r="J584" t="s">
        <v>17</v>
      </c>
      <c r="K584" t="s">
        <v>3200</v>
      </c>
      <c r="L584" t="s">
        <v>3206</v>
      </c>
      <c r="M584" t="s">
        <v>3207</v>
      </c>
      <c r="N584" t="s">
        <v>393</v>
      </c>
    </row>
    <row r="585" spans="1:14" ht="11.25" customHeight="1">
      <c r="A585" s="1753" t="s">
        <v>2199</v>
      </c>
      <c r="B585" s="1753" t="s">
        <v>14</v>
      </c>
      <c r="C585" s="1753" t="s">
        <v>3370</v>
      </c>
      <c r="D585" s="1753" t="s">
        <v>3371</v>
      </c>
      <c r="E585" s="1753" t="s">
        <v>3372</v>
      </c>
      <c r="F585" s="1753" t="s">
        <v>2603</v>
      </c>
      <c r="G585" s="1753" t="s">
        <v>17</v>
      </c>
      <c r="H585" s="1753" t="s">
        <v>17</v>
      </c>
      <c r="I585" s="1753" t="s">
        <v>2330</v>
      </c>
      <c r="J585" t="s">
        <v>17</v>
      </c>
      <c r="K585" t="s">
        <v>3208</v>
      </c>
      <c r="L585" t="s">
        <v>3206</v>
      </c>
      <c r="M585" t="s">
        <v>3207</v>
      </c>
      <c r="N585" t="s">
        <v>393</v>
      </c>
    </row>
    <row r="586" spans="1:14" ht="11.25" customHeight="1">
      <c r="A586" s="1753" t="s">
        <v>2199</v>
      </c>
      <c r="B586" s="1753" t="s">
        <v>14</v>
      </c>
      <c r="C586" s="1753" t="s">
        <v>3373</v>
      </c>
      <c r="D586" s="1753" t="s">
        <v>3374</v>
      </c>
      <c r="E586" s="1753" t="s">
        <v>3375</v>
      </c>
      <c r="F586" s="1753" t="s">
        <v>3067</v>
      </c>
      <c r="G586" s="1753" t="s">
        <v>3376</v>
      </c>
      <c r="H586" s="1753" t="s">
        <v>17</v>
      </c>
      <c r="I586" s="1753" t="s">
        <v>3376</v>
      </c>
      <c r="J586" t="s">
        <v>17</v>
      </c>
      <c r="K586" t="s">
        <v>3200</v>
      </c>
      <c r="L586" t="s">
        <v>3206</v>
      </c>
      <c r="M586" t="s">
        <v>3207</v>
      </c>
      <c r="N586" t="s">
        <v>393</v>
      </c>
    </row>
    <row r="587" spans="1:14" ht="11.25" customHeight="1">
      <c r="A587" s="1753" t="s">
        <v>2199</v>
      </c>
      <c r="B587" s="1753" t="s">
        <v>14</v>
      </c>
      <c r="C587" s="1753" t="s">
        <v>3373</v>
      </c>
      <c r="D587" s="1753" t="s">
        <v>3374</v>
      </c>
      <c r="E587" s="1753" t="s">
        <v>3375</v>
      </c>
      <c r="F587" s="1753" t="s">
        <v>3067</v>
      </c>
      <c r="G587" s="1753" t="s">
        <v>3376</v>
      </c>
      <c r="H587" s="1753" t="s">
        <v>17</v>
      </c>
      <c r="I587" s="1753" t="s">
        <v>3376</v>
      </c>
      <c r="J587" t="s">
        <v>17</v>
      </c>
      <c r="K587" t="s">
        <v>3208</v>
      </c>
      <c r="L587" t="s">
        <v>3206</v>
      </c>
      <c r="M587" t="s">
        <v>3207</v>
      </c>
      <c r="N587" t="s">
        <v>393</v>
      </c>
    </row>
    <row r="588" spans="1:14" ht="11.25" customHeight="1">
      <c r="A588" s="1753" t="s">
        <v>2199</v>
      </c>
      <c r="B588" s="1753" t="s">
        <v>14</v>
      </c>
      <c r="C588" s="1753" t="s">
        <v>2623</v>
      </c>
      <c r="D588" s="1753" t="s">
        <v>2624</v>
      </c>
      <c r="E588" s="1753" t="s">
        <v>2625</v>
      </c>
      <c r="F588" s="1753" t="s">
        <v>2420</v>
      </c>
      <c r="G588" s="1753" t="s">
        <v>17</v>
      </c>
      <c r="H588" s="1753" t="s">
        <v>17</v>
      </c>
      <c r="I588" s="1753" t="s">
        <v>2330</v>
      </c>
      <c r="J588" t="s">
        <v>17</v>
      </c>
      <c r="K588" t="s">
        <v>3200</v>
      </c>
      <c r="L588" t="s">
        <v>3206</v>
      </c>
      <c r="M588" t="s">
        <v>3207</v>
      </c>
      <c r="N588" t="s">
        <v>393</v>
      </c>
    </row>
    <row r="589" spans="1:14" ht="11.25" customHeight="1">
      <c r="A589" s="1753" t="s">
        <v>2199</v>
      </c>
      <c r="B589" s="1753" t="s">
        <v>14</v>
      </c>
      <c r="C589" s="1753" t="s">
        <v>2623</v>
      </c>
      <c r="D589" s="1753" t="s">
        <v>2624</v>
      </c>
      <c r="E589" s="1753" t="s">
        <v>2625</v>
      </c>
      <c r="F589" s="1753" t="s">
        <v>2420</v>
      </c>
      <c r="G589" s="1753" t="s">
        <v>17</v>
      </c>
      <c r="H589" s="1753" t="s">
        <v>17</v>
      </c>
      <c r="I589" s="1753" t="s">
        <v>2330</v>
      </c>
      <c r="J589" t="s">
        <v>17</v>
      </c>
      <c r="K589" t="s">
        <v>3208</v>
      </c>
      <c r="L589" t="s">
        <v>3206</v>
      </c>
      <c r="M589" t="s">
        <v>3207</v>
      </c>
      <c r="N589" t="s">
        <v>393</v>
      </c>
    </row>
    <row r="590" spans="1:14" ht="11.25" customHeight="1">
      <c r="A590" s="1753" t="s">
        <v>2199</v>
      </c>
      <c r="B590" s="1753" t="s">
        <v>14</v>
      </c>
      <c r="C590" s="1753" t="s">
        <v>3377</v>
      </c>
      <c r="D590" s="1753" t="s">
        <v>3378</v>
      </c>
      <c r="E590" s="1753" t="s">
        <v>3379</v>
      </c>
      <c r="F590" s="1753" t="s">
        <v>2416</v>
      </c>
      <c r="G590" s="1753" t="s">
        <v>17</v>
      </c>
      <c r="H590" s="1753" t="s">
        <v>17</v>
      </c>
      <c r="I590" s="1753" t="s">
        <v>2330</v>
      </c>
      <c r="J590" t="s">
        <v>17</v>
      </c>
      <c r="K590" t="s">
        <v>3200</v>
      </c>
      <c r="L590" t="s">
        <v>3206</v>
      </c>
      <c r="M590" t="s">
        <v>3207</v>
      </c>
      <c r="N590" t="s">
        <v>393</v>
      </c>
    </row>
    <row r="591" spans="1:14" ht="11.25" customHeight="1">
      <c r="A591" s="1753" t="s">
        <v>2199</v>
      </c>
      <c r="B591" s="1753" t="s">
        <v>14</v>
      </c>
      <c r="C591" s="1753" t="s">
        <v>3377</v>
      </c>
      <c r="D591" s="1753" t="s">
        <v>3378</v>
      </c>
      <c r="E591" s="1753" t="s">
        <v>3379</v>
      </c>
      <c r="F591" s="1753" t="s">
        <v>2416</v>
      </c>
      <c r="G591" s="1753" t="s">
        <v>17</v>
      </c>
      <c r="H591" s="1753" t="s">
        <v>17</v>
      </c>
      <c r="I591" s="1753" t="s">
        <v>2330</v>
      </c>
      <c r="J591" t="s">
        <v>17</v>
      </c>
      <c r="K591" t="s">
        <v>3208</v>
      </c>
      <c r="L591" t="s">
        <v>3206</v>
      </c>
      <c r="M591" t="s">
        <v>3207</v>
      </c>
      <c r="N591" t="s">
        <v>393</v>
      </c>
    </row>
    <row r="592" spans="1:14" ht="11.25" customHeight="1">
      <c r="A592" s="1753" t="s">
        <v>2199</v>
      </c>
      <c r="B592" s="1753" t="s">
        <v>14</v>
      </c>
      <c r="C592" s="1753" t="s">
        <v>3380</v>
      </c>
      <c r="D592" s="1753" t="s">
        <v>3381</v>
      </c>
      <c r="E592" s="1753" t="s">
        <v>3382</v>
      </c>
      <c r="F592" s="1753" t="s">
        <v>2603</v>
      </c>
      <c r="G592" s="1753" t="s">
        <v>17</v>
      </c>
      <c r="H592" s="1753" t="s">
        <v>17</v>
      </c>
      <c r="I592" s="1753" t="s">
        <v>2330</v>
      </c>
      <c r="J592" t="s">
        <v>17</v>
      </c>
      <c r="K592" t="s">
        <v>3200</v>
      </c>
      <c r="L592" t="s">
        <v>3206</v>
      </c>
      <c r="M592" t="s">
        <v>3207</v>
      </c>
      <c r="N592" t="s">
        <v>393</v>
      </c>
    </row>
    <row r="593" spans="1:14" ht="11.25" customHeight="1">
      <c r="A593" s="1753" t="s">
        <v>2199</v>
      </c>
      <c r="B593" s="1753" t="s">
        <v>14</v>
      </c>
      <c r="C593" s="1753" t="s">
        <v>3380</v>
      </c>
      <c r="D593" s="1753" t="s">
        <v>3381</v>
      </c>
      <c r="E593" s="1753" t="s">
        <v>3382</v>
      </c>
      <c r="F593" s="1753" t="s">
        <v>2603</v>
      </c>
      <c r="G593" s="1753" t="s">
        <v>17</v>
      </c>
      <c r="H593" s="1753" t="s">
        <v>17</v>
      </c>
      <c r="I593" s="1753" t="s">
        <v>2330</v>
      </c>
      <c r="J593" t="s">
        <v>17</v>
      </c>
      <c r="K593" t="s">
        <v>3208</v>
      </c>
      <c r="L593" t="s">
        <v>3206</v>
      </c>
      <c r="M593" t="s">
        <v>3207</v>
      </c>
      <c r="N593" t="s">
        <v>393</v>
      </c>
    </row>
    <row r="594" spans="1:14" ht="11.25" customHeight="1">
      <c r="A594" s="1753" t="s">
        <v>2199</v>
      </c>
      <c r="B594" s="1753" t="s">
        <v>14</v>
      </c>
      <c r="C594" s="1753" t="s">
        <v>2626</v>
      </c>
      <c r="D594" s="1753" t="s">
        <v>2627</v>
      </c>
      <c r="E594" s="1753" t="s">
        <v>2628</v>
      </c>
      <c r="F594" s="1753" t="s">
        <v>2539</v>
      </c>
      <c r="G594" s="1753" t="s">
        <v>17</v>
      </c>
      <c r="H594" s="1753" t="s">
        <v>17</v>
      </c>
      <c r="I594" s="1753" t="s">
        <v>2330</v>
      </c>
      <c r="J594" t="s">
        <v>17</v>
      </c>
      <c r="K594" t="s">
        <v>3200</v>
      </c>
      <c r="L594" t="s">
        <v>3206</v>
      </c>
      <c r="M594" t="s">
        <v>3207</v>
      </c>
      <c r="N594" t="s">
        <v>393</v>
      </c>
    </row>
    <row r="595" spans="1:14" ht="11.25" customHeight="1">
      <c r="A595" s="1753" t="s">
        <v>2199</v>
      </c>
      <c r="B595" s="1753" t="s">
        <v>14</v>
      </c>
      <c r="C595" s="1753" t="s">
        <v>2626</v>
      </c>
      <c r="D595" s="1753" t="s">
        <v>2627</v>
      </c>
      <c r="E595" s="1753" t="s">
        <v>2628</v>
      </c>
      <c r="F595" s="1753" t="s">
        <v>2539</v>
      </c>
      <c r="G595" s="1753" t="s">
        <v>17</v>
      </c>
      <c r="H595" s="1753" t="s">
        <v>17</v>
      </c>
      <c r="I595" s="1753" t="s">
        <v>2330</v>
      </c>
      <c r="J595" t="s">
        <v>17</v>
      </c>
      <c r="K595" t="s">
        <v>3208</v>
      </c>
      <c r="L595" t="s">
        <v>3206</v>
      </c>
      <c r="M595" t="s">
        <v>3207</v>
      </c>
      <c r="N595" t="s">
        <v>393</v>
      </c>
    </row>
    <row r="596" spans="1:14" ht="11.25" customHeight="1">
      <c r="A596" s="1753" t="s">
        <v>2199</v>
      </c>
      <c r="B596" s="1753" t="s">
        <v>14</v>
      </c>
      <c r="C596" s="1753" t="s">
        <v>2629</v>
      </c>
      <c r="D596" s="1753" t="s">
        <v>2630</v>
      </c>
      <c r="E596" s="1753" t="s">
        <v>2631</v>
      </c>
      <c r="F596" s="1753" t="s">
        <v>2632</v>
      </c>
      <c r="G596" s="1753" t="s">
        <v>17</v>
      </c>
      <c r="H596" s="1753" t="s">
        <v>17</v>
      </c>
      <c r="I596" s="1753" t="s">
        <v>2330</v>
      </c>
      <c r="J596" t="s">
        <v>17</v>
      </c>
      <c r="K596" t="s">
        <v>3200</v>
      </c>
      <c r="L596" t="s">
        <v>3206</v>
      </c>
      <c r="M596" t="s">
        <v>3207</v>
      </c>
      <c r="N596" t="s">
        <v>393</v>
      </c>
    </row>
    <row r="597" spans="1:14" ht="11.25" customHeight="1">
      <c r="A597" s="1753" t="s">
        <v>2199</v>
      </c>
      <c r="B597" s="1753" t="s">
        <v>14</v>
      </c>
      <c r="C597" s="1753" t="s">
        <v>2629</v>
      </c>
      <c r="D597" s="1753" t="s">
        <v>2630</v>
      </c>
      <c r="E597" s="1753" t="s">
        <v>2631</v>
      </c>
      <c r="F597" s="1753" t="s">
        <v>2632</v>
      </c>
      <c r="G597" s="1753" t="s">
        <v>17</v>
      </c>
      <c r="H597" s="1753" t="s">
        <v>17</v>
      </c>
      <c r="I597" s="1753" t="s">
        <v>2330</v>
      </c>
      <c r="J597" t="s">
        <v>17</v>
      </c>
      <c r="K597" t="s">
        <v>3208</v>
      </c>
      <c r="L597" t="s">
        <v>3206</v>
      </c>
      <c r="M597" t="s">
        <v>3207</v>
      </c>
      <c r="N597" t="s">
        <v>393</v>
      </c>
    </row>
    <row r="598" spans="1:14" ht="11.25" customHeight="1">
      <c r="A598" s="1753" t="s">
        <v>2199</v>
      </c>
      <c r="B598" s="1753" t="s">
        <v>14</v>
      </c>
      <c r="C598" s="1753" t="s">
        <v>2633</v>
      </c>
      <c r="D598" s="1753" t="s">
        <v>2634</v>
      </c>
      <c r="E598" s="1753" t="s">
        <v>2635</v>
      </c>
      <c r="F598" s="1753" t="s">
        <v>2255</v>
      </c>
      <c r="G598" s="1753" t="s">
        <v>17</v>
      </c>
      <c r="H598" s="1753" t="s">
        <v>17</v>
      </c>
      <c r="I598" s="1753" t="s">
        <v>2239</v>
      </c>
      <c r="J598" t="s">
        <v>17</v>
      </c>
      <c r="K598" t="s">
        <v>3200</v>
      </c>
      <c r="L598" t="s">
        <v>3295</v>
      </c>
      <c r="M598" t="s">
        <v>3367</v>
      </c>
      <c r="N598" t="s">
        <v>393</v>
      </c>
    </row>
    <row r="599" spans="1:14" ht="11.25" customHeight="1">
      <c r="A599" s="1753" t="s">
        <v>2199</v>
      </c>
      <c r="B599" s="1753" t="s">
        <v>14</v>
      </c>
      <c r="C599" s="1753" t="s">
        <v>2633</v>
      </c>
      <c r="D599" s="1753" t="s">
        <v>2634</v>
      </c>
      <c r="E599" s="1753" t="s">
        <v>2635</v>
      </c>
      <c r="F599" s="1753" t="s">
        <v>2255</v>
      </c>
      <c r="G599" s="1753" t="s">
        <v>17</v>
      </c>
      <c r="H599" s="1753" t="s">
        <v>17</v>
      </c>
      <c r="I599" s="1753" t="s">
        <v>2239</v>
      </c>
      <c r="J599" t="s">
        <v>17</v>
      </c>
      <c r="K599" t="s">
        <v>3208</v>
      </c>
      <c r="L599" t="s">
        <v>3295</v>
      </c>
      <c r="M599" t="s">
        <v>3367</v>
      </c>
      <c r="N599" t="s">
        <v>393</v>
      </c>
    </row>
    <row r="600" spans="1:14" ht="11.25" customHeight="1">
      <c r="A600" s="1753" t="s">
        <v>2199</v>
      </c>
      <c r="B600" s="1753" t="s">
        <v>14</v>
      </c>
      <c r="C600" s="1753" t="s">
        <v>2640</v>
      </c>
      <c r="D600" s="1753" t="s">
        <v>2641</v>
      </c>
      <c r="E600" s="1753" t="s">
        <v>2642</v>
      </c>
      <c r="F600" s="1753" t="s">
        <v>2539</v>
      </c>
      <c r="G600" s="1753" t="s">
        <v>17</v>
      </c>
      <c r="H600" s="1753" t="s">
        <v>17</v>
      </c>
      <c r="I600" s="1753" t="s">
        <v>2330</v>
      </c>
      <c r="J600" t="s">
        <v>17</v>
      </c>
      <c r="K600" t="s">
        <v>3200</v>
      </c>
      <c r="L600" t="s">
        <v>3206</v>
      </c>
      <c r="M600" t="s">
        <v>3207</v>
      </c>
      <c r="N600" t="s">
        <v>393</v>
      </c>
    </row>
    <row r="601" spans="1:14" ht="11.25" customHeight="1">
      <c r="A601" s="1753" t="s">
        <v>2199</v>
      </c>
      <c r="B601" s="1753" t="s">
        <v>14</v>
      </c>
      <c r="C601" s="1753" t="s">
        <v>2640</v>
      </c>
      <c r="D601" s="1753" t="s">
        <v>2641</v>
      </c>
      <c r="E601" s="1753" t="s">
        <v>2642</v>
      </c>
      <c r="F601" s="1753" t="s">
        <v>2539</v>
      </c>
      <c r="G601" s="1753" t="s">
        <v>17</v>
      </c>
      <c r="H601" s="1753" t="s">
        <v>17</v>
      </c>
      <c r="I601" s="1753" t="s">
        <v>2330</v>
      </c>
      <c r="J601" t="s">
        <v>17</v>
      </c>
      <c r="K601" t="s">
        <v>3208</v>
      </c>
      <c r="L601" t="s">
        <v>3206</v>
      </c>
      <c r="M601" t="s">
        <v>3207</v>
      </c>
      <c r="N601" t="s">
        <v>393</v>
      </c>
    </row>
    <row r="602" spans="1:14" ht="11.25" customHeight="1">
      <c r="A602" s="1753" t="s">
        <v>2199</v>
      </c>
      <c r="B602" s="1753" t="s">
        <v>14</v>
      </c>
      <c r="C602" s="1753" t="s">
        <v>2643</v>
      </c>
      <c r="D602" s="1753" t="s">
        <v>2644</v>
      </c>
      <c r="E602" s="1753" t="s">
        <v>2645</v>
      </c>
      <c r="F602" s="1753" t="s">
        <v>2548</v>
      </c>
      <c r="G602" s="1753" t="s">
        <v>17</v>
      </c>
      <c r="H602" s="1753" t="s">
        <v>17</v>
      </c>
      <c r="I602" s="1753" t="s">
        <v>2330</v>
      </c>
      <c r="J602" t="s">
        <v>17</v>
      </c>
      <c r="K602" t="s">
        <v>3200</v>
      </c>
      <c r="L602" t="s">
        <v>3206</v>
      </c>
      <c r="M602" t="s">
        <v>3207</v>
      </c>
      <c r="N602" t="s">
        <v>393</v>
      </c>
    </row>
    <row r="603" spans="1:14" ht="11.25" customHeight="1">
      <c r="A603" s="1753" t="s">
        <v>2199</v>
      </c>
      <c r="B603" s="1753" t="s">
        <v>14</v>
      </c>
      <c r="C603" s="1753" t="s">
        <v>2643</v>
      </c>
      <c r="D603" s="1753" t="s">
        <v>2644</v>
      </c>
      <c r="E603" s="1753" t="s">
        <v>2645</v>
      </c>
      <c r="F603" s="1753" t="s">
        <v>2548</v>
      </c>
      <c r="G603" s="1753" t="s">
        <v>17</v>
      </c>
      <c r="H603" s="1753" t="s">
        <v>17</v>
      </c>
      <c r="I603" s="1753" t="s">
        <v>2330</v>
      </c>
      <c r="J603" t="s">
        <v>17</v>
      </c>
      <c r="K603" t="s">
        <v>3208</v>
      </c>
      <c r="L603" t="s">
        <v>3206</v>
      </c>
      <c r="M603" t="s">
        <v>3207</v>
      </c>
      <c r="N603" t="s">
        <v>393</v>
      </c>
    </row>
    <row r="604" spans="1:14" ht="11.25" customHeight="1">
      <c r="A604" s="1753" t="s">
        <v>2199</v>
      </c>
      <c r="B604" s="1753" t="s">
        <v>14</v>
      </c>
      <c r="C604" s="1753" t="s">
        <v>2646</v>
      </c>
      <c r="D604" s="1753" t="s">
        <v>2647</v>
      </c>
      <c r="E604" s="1753" t="s">
        <v>2648</v>
      </c>
      <c r="F604" s="1753" t="s">
        <v>2649</v>
      </c>
      <c r="G604" s="1753" t="s">
        <v>17</v>
      </c>
      <c r="H604" s="1753" t="s">
        <v>17</v>
      </c>
      <c r="I604" s="1753" t="s">
        <v>2330</v>
      </c>
      <c r="J604" t="s">
        <v>17</v>
      </c>
      <c r="K604" t="s">
        <v>3200</v>
      </c>
      <c r="L604" t="s">
        <v>3206</v>
      </c>
      <c r="M604" t="s">
        <v>3207</v>
      </c>
      <c r="N604" t="s">
        <v>393</v>
      </c>
    </row>
    <row r="605" spans="1:14" ht="11.25" customHeight="1">
      <c r="A605" s="1753" t="s">
        <v>2199</v>
      </c>
      <c r="B605" s="1753" t="s">
        <v>14</v>
      </c>
      <c r="C605" s="1753" t="s">
        <v>2646</v>
      </c>
      <c r="D605" s="1753" t="s">
        <v>2647</v>
      </c>
      <c r="E605" s="1753" t="s">
        <v>2648</v>
      </c>
      <c r="F605" s="1753" t="s">
        <v>2649</v>
      </c>
      <c r="G605" s="1753" t="s">
        <v>17</v>
      </c>
      <c r="H605" s="1753" t="s">
        <v>17</v>
      </c>
      <c r="I605" s="1753" t="s">
        <v>2330</v>
      </c>
      <c r="J605" t="s">
        <v>17</v>
      </c>
      <c r="K605" t="s">
        <v>3208</v>
      </c>
      <c r="L605" t="s">
        <v>3206</v>
      </c>
      <c r="M605" t="s">
        <v>3207</v>
      </c>
      <c r="N605" t="s">
        <v>393</v>
      </c>
    </row>
    <row r="606" spans="1:14" ht="11.25" customHeight="1">
      <c r="A606" s="1753" t="s">
        <v>2199</v>
      </c>
      <c r="B606" s="1753" t="s">
        <v>14</v>
      </c>
      <c r="C606" s="1753" t="s">
        <v>3383</v>
      </c>
      <c r="D606" s="1753" t="s">
        <v>3384</v>
      </c>
      <c r="E606" s="1753" t="s">
        <v>3385</v>
      </c>
      <c r="F606" s="1753" t="s">
        <v>2705</v>
      </c>
      <c r="G606" s="1753" t="s">
        <v>17</v>
      </c>
      <c r="H606" s="1753" t="s">
        <v>17</v>
      </c>
      <c r="I606" s="1753" t="s">
        <v>2246</v>
      </c>
      <c r="J606" t="s">
        <v>17</v>
      </c>
      <c r="K606" t="s">
        <v>3200</v>
      </c>
      <c r="L606" t="s">
        <v>3206</v>
      </c>
      <c r="M606" t="s">
        <v>3207</v>
      </c>
      <c r="N606" t="s">
        <v>393</v>
      </c>
    </row>
    <row r="607" spans="1:14" ht="11.25" customHeight="1">
      <c r="A607" s="1753" t="s">
        <v>2199</v>
      </c>
      <c r="B607" s="1753" t="s">
        <v>14</v>
      </c>
      <c r="C607" s="1753" t="s">
        <v>3383</v>
      </c>
      <c r="D607" s="1753" t="s">
        <v>3384</v>
      </c>
      <c r="E607" s="1753" t="s">
        <v>3385</v>
      </c>
      <c r="F607" s="1753" t="s">
        <v>2705</v>
      </c>
      <c r="G607" s="1753" t="s">
        <v>17</v>
      </c>
      <c r="H607" s="1753" t="s">
        <v>17</v>
      </c>
      <c r="I607" s="1753" t="s">
        <v>2246</v>
      </c>
      <c r="J607" t="s">
        <v>17</v>
      </c>
      <c r="K607" t="s">
        <v>3208</v>
      </c>
      <c r="L607" t="s">
        <v>3206</v>
      </c>
      <c r="M607" t="s">
        <v>3207</v>
      </c>
      <c r="N607" t="s">
        <v>393</v>
      </c>
    </row>
    <row r="608" spans="1:14" ht="11.25" customHeight="1">
      <c r="A608" s="1753" t="s">
        <v>2199</v>
      </c>
      <c r="B608" s="1753" t="s">
        <v>14</v>
      </c>
      <c r="C608" s="1753" t="s">
        <v>3386</v>
      </c>
      <c r="D608" s="1753" t="s">
        <v>3387</v>
      </c>
      <c r="E608" s="1753" t="s">
        <v>3388</v>
      </c>
      <c r="F608" s="1753" t="s">
        <v>2432</v>
      </c>
      <c r="G608" s="1753" t="s">
        <v>17</v>
      </c>
      <c r="H608" s="1753" t="s">
        <v>17</v>
      </c>
      <c r="I608" s="1753" t="s">
        <v>2518</v>
      </c>
      <c r="J608" t="s">
        <v>17</v>
      </c>
      <c r="K608" t="s">
        <v>3200</v>
      </c>
      <c r="L608" t="s">
        <v>3287</v>
      </c>
      <c r="M608" t="s">
        <v>3288</v>
      </c>
      <c r="N608" t="s">
        <v>393</v>
      </c>
    </row>
    <row r="609" spans="1:14" ht="11.25" customHeight="1">
      <c r="A609" s="1753" t="s">
        <v>2199</v>
      </c>
      <c r="B609" s="1753" t="s">
        <v>14</v>
      </c>
      <c r="C609" s="1753" t="s">
        <v>2650</v>
      </c>
      <c r="D609" s="1753" t="s">
        <v>2651</v>
      </c>
      <c r="E609" s="1753" t="s">
        <v>2652</v>
      </c>
      <c r="F609" s="1753" t="s">
        <v>2653</v>
      </c>
      <c r="G609" s="1753" t="s">
        <v>17</v>
      </c>
      <c r="H609" s="1753" t="s">
        <v>17</v>
      </c>
      <c r="I609" s="1753" t="s">
        <v>2330</v>
      </c>
      <c r="J609" t="s">
        <v>17</v>
      </c>
      <c r="K609" t="s">
        <v>3200</v>
      </c>
      <c r="L609" t="s">
        <v>3206</v>
      </c>
      <c r="M609" t="s">
        <v>3207</v>
      </c>
      <c r="N609" t="s">
        <v>393</v>
      </c>
    </row>
    <row r="610" spans="1:14" ht="11.25" customHeight="1">
      <c r="A610" s="1753" t="s">
        <v>2199</v>
      </c>
      <c r="B610" s="1753" t="s">
        <v>14</v>
      </c>
      <c r="C610" s="1753" t="s">
        <v>2650</v>
      </c>
      <c r="D610" s="1753" t="s">
        <v>2651</v>
      </c>
      <c r="E610" s="1753" t="s">
        <v>2652</v>
      </c>
      <c r="F610" s="1753" t="s">
        <v>2653</v>
      </c>
      <c r="G610" s="1753" t="s">
        <v>17</v>
      </c>
      <c r="H610" s="1753" t="s">
        <v>17</v>
      </c>
      <c r="I610" s="1753" t="s">
        <v>2330</v>
      </c>
      <c r="J610" t="s">
        <v>17</v>
      </c>
      <c r="K610" t="s">
        <v>3208</v>
      </c>
      <c r="L610" t="s">
        <v>3206</v>
      </c>
      <c r="M610" t="s">
        <v>3207</v>
      </c>
      <c r="N610" t="s">
        <v>393</v>
      </c>
    </row>
    <row r="611" spans="1:14" ht="11.25" customHeight="1">
      <c r="A611" s="1753" t="s">
        <v>2199</v>
      </c>
      <c r="B611" s="1753" t="s">
        <v>14</v>
      </c>
      <c r="C611" s="1753" t="s">
        <v>2654</v>
      </c>
      <c r="D611" s="1753" t="s">
        <v>2655</v>
      </c>
      <c r="E611" s="1753" t="s">
        <v>2656</v>
      </c>
      <c r="F611" s="1753" t="s">
        <v>2264</v>
      </c>
      <c r="G611" s="1753" t="s">
        <v>17</v>
      </c>
      <c r="H611" s="1753" t="s">
        <v>17</v>
      </c>
      <c r="I611" s="1753" t="s">
        <v>3389</v>
      </c>
      <c r="J611" t="s">
        <v>17</v>
      </c>
      <c r="K611" t="s">
        <v>3200</v>
      </c>
      <c r="L611" t="s">
        <v>3206</v>
      </c>
      <c r="M611" t="s">
        <v>3207</v>
      </c>
      <c r="N611" t="s">
        <v>393</v>
      </c>
    </row>
    <row r="612" spans="1:14" ht="11.25" customHeight="1">
      <c r="A612" s="1753" t="s">
        <v>2199</v>
      </c>
      <c r="B612" s="1753" t="s">
        <v>14</v>
      </c>
      <c r="C612" s="1753" t="s">
        <v>2654</v>
      </c>
      <c r="D612" s="1753" t="s">
        <v>2655</v>
      </c>
      <c r="E612" s="1753" t="s">
        <v>2656</v>
      </c>
      <c r="F612" s="1753" t="s">
        <v>2264</v>
      </c>
      <c r="G612" s="1753" t="s">
        <v>17</v>
      </c>
      <c r="H612" s="1753" t="s">
        <v>17</v>
      </c>
      <c r="I612" s="1753" t="s">
        <v>3389</v>
      </c>
      <c r="J612" t="s">
        <v>17</v>
      </c>
      <c r="K612" t="s">
        <v>3208</v>
      </c>
      <c r="L612" t="s">
        <v>3206</v>
      </c>
      <c r="M612" t="s">
        <v>3207</v>
      </c>
      <c r="N612" t="s">
        <v>393</v>
      </c>
    </row>
    <row r="613" spans="1:14" ht="11.25" customHeight="1">
      <c r="A613" s="1753" t="s">
        <v>2199</v>
      </c>
      <c r="B613" s="1753" t="s">
        <v>14</v>
      </c>
      <c r="C613" s="1753" t="s">
        <v>3390</v>
      </c>
      <c r="D613" s="1753" t="s">
        <v>3391</v>
      </c>
      <c r="E613" s="1753" t="s">
        <v>3392</v>
      </c>
      <c r="F613" s="1753" t="s">
        <v>2665</v>
      </c>
      <c r="G613" s="1753" t="s">
        <v>17</v>
      </c>
      <c r="H613" s="1753" t="s">
        <v>17</v>
      </c>
      <c r="I613" s="1753" t="s">
        <v>2330</v>
      </c>
      <c r="J613" t="s">
        <v>17</v>
      </c>
      <c r="K613" t="s">
        <v>3200</v>
      </c>
      <c r="L613" t="s">
        <v>3206</v>
      </c>
      <c r="M613" t="s">
        <v>3207</v>
      </c>
      <c r="N613" t="s">
        <v>393</v>
      </c>
    </row>
    <row r="614" spans="1:14" ht="11.25" customHeight="1">
      <c r="A614" s="1753" t="s">
        <v>2199</v>
      </c>
      <c r="B614" s="1753" t="s">
        <v>14</v>
      </c>
      <c r="C614" s="1753" t="s">
        <v>3390</v>
      </c>
      <c r="D614" s="1753" t="s">
        <v>3391</v>
      </c>
      <c r="E614" s="1753" t="s">
        <v>3392</v>
      </c>
      <c r="F614" s="1753" t="s">
        <v>2665</v>
      </c>
      <c r="G614" s="1753" t="s">
        <v>17</v>
      </c>
      <c r="H614" s="1753" t="s">
        <v>17</v>
      </c>
      <c r="I614" s="1753" t="s">
        <v>2330</v>
      </c>
      <c r="J614" t="s">
        <v>17</v>
      </c>
      <c r="K614" t="s">
        <v>3208</v>
      </c>
      <c r="L614" t="s">
        <v>3206</v>
      </c>
      <c r="M614" t="s">
        <v>3207</v>
      </c>
      <c r="N614" t="s">
        <v>393</v>
      </c>
    </row>
    <row r="615" spans="1:14" ht="11.25" customHeight="1">
      <c r="A615" s="1753" t="s">
        <v>2199</v>
      </c>
      <c r="B615" s="1753" t="s">
        <v>14</v>
      </c>
      <c r="C615" s="1753" t="s">
        <v>3393</v>
      </c>
      <c r="D615" s="1753" t="s">
        <v>3394</v>
      </c>
      <c r="E615" s="1753" t="s">
        <v>3395</v>
      </c>
      <c r="F615" s="1753" t="s">
        <v>2424</v>
      </c>
      <c r="G615" s="1753" t="s">
        <v>17</v>
      </c>
      <c r="H615" s="1753" t="s">
        <v>17</v>
      </c>
      <c r="I615" s="1753" t="s">
        <v>2469</v>
      </c>
      <c r="J615" t="s">
        <v>17</v>
      </c>
      <c r="K615" t="s">
        <v>3200</v>
      </c>
      <c r="L615" t="s">
        <v>3287</v>
      </c>
      <c r="M615" t="s">
        <v>3288</v>
      </c>
      <c r="N615" t="s">
        <v>393</v>
      </c>
    </row>
    <row r="616" spans="1:14" ht="11.25" customHeight="1">
      <c r="A616" s="1753" t="s">
        <v>2199</v>
      </c>
      <c r="B616" s="1753" t="s">
        <v>14</v>
      </c>
      <c r="C616" s="1753" t="s">
        <v>2658</v>
      </c>
      <c r="D616" s="1753" t="s">
        <v>2659</v>
      </c>
      <c r="E616" s="1753" t="s">
        <v>2660</v>
      </c>
      <c r="F616" s="1753" t="s">
        <v>2412</v>
      </c>
      <c r="G616" s="1753" t="s">
        <v>17</v>
      </c>
      <c r="H616" s="1753" t="s">
        <v>17</v>
      </c>
      <c r="I616" s="1753" t="s">
        <v>2246</v>
      </c>
      <c r="J616" t="s">
        <v>17</v>
      </c>
      <c r="K616" t="s">
        <v>3200</v>
      </c>
      <c r="L616" t="s">
        <v>3206</v>
      </c>
      <c r="M616" t="s">
        <v>3207</v>
      </c>
      <c r="N616" t="s">
        <v>393</v>
      </c>
    </row>
    <row r="617" spans="1:14" ht="11.25" customHeight="1">
      <c r="A617" s="1753" t="s">
        <v>2199</v>
      </c>
      <c r="B617" s="1753" t="s">
        <v>14</v>
      </c>
      <c r="C617" s="1753" t="s">
        <v>2658</v>
      </c>
      <c r="D617" s="1753" t="s">
        <v>2659</v>
      </c>
      <c r="E617" s="1753" t="s">
        <v>2660</v>
      </c>
      <c r="F617" s="1753" t="s">
        <v>2412</v>
      </c>
      <c r="G617" s="1753" t="s">
        <v>17</v>
      </c>
      <c r="H617" s="1753" t="s">
        <v>17</v>
      </c>
      <c r="I617" s="1753" t="s">
        <v>2246</v>
      </c>
      <c r="J617" t="s">
        <v>17</v>
      </c>
      <c r="K617" t="s">
        <v>3208</v>
      </c>
      <c r="L617" t="s">
        <v>3206</v>
      </c>
      <c r="M617" t="s">
        <v>3207</v>
      </c>
      <c r="N617" t="s">
        <v>393</v>
      </c>
    </row>
    <row r="618" spans="1:14" ht="11.25" customHeight="1">
      <c r="A618" s="1753" t="s">
        <v>2199</v>
      </c>
      <c r="B618" s="1753" t="s">
        <v>14</v>
      </c>
      <c r="C618" s="1753" t="s">
        <v>2662</v>
      </c>
      <c r="D618" s="1753" t="s">
        <v>2663</v>
      </c>
      <c r="E618" s="1753" t="s">
        <v>2664</v>
      </c>
      <c r="F618" s="1753" t="s">
        <v>2665</v>
      </c>
      <c r="G618" s="1753" t="s">
        <v>2666</v>
      </c>
      <c r="H618" s="1753" t="s">
        <v>17</v>
      </c>
      <c r="I618" s="1753" t="s">
        <v>2330</v>
      </c>
      <c r="J618" t="s">
        <v>17</v>
      </c>
      <c r="K618" t="s">
        <v>3200</v>
      </c>
      <c r="L618" t="s">
        <v>3295</v>
      </c>
      <c r="M618" t="s">
        <v>3296</v>
      </c>
      <c r="N618" t="s">
        <v>393</v>
      </c>
    </row>
    <row r="619" spans="1:14" ht="11.25" customHeight="1">
      <c r="A619" s="1753" t="s">
        <v>2199</v>
      </c>
      <c r="B619" s="1753" t="s">
        <v>14</v>
      </c>
      <c r="C619" s="1753" t="s">
        <v>2667</v>
      </c>
      <c r="D619" s="1753" t="s">
        <v>2668</v>
      </c>
      <c r="E619" s="1753" t="s">
        <v>2669</v>
      </c>
      <c r="F619" s="1753" t="s">
        <v>2670</v>
      </c>
      <c r="G619" s="1753" t="s">
        <v>17</v>
      </c>
      <c r="H619" s="1753" t="s">
        <v>17</v>
      </c>
      <c r="I619" s="1753" t="s">
        <v>2452</v>
      </c>
      <c r="J619" t="s">
        <v>17</v>
      </c>
      <c r="K619" t="s">
        <v>3200</v>
      </c>
      <c r="L619" t="s">
        <v>3206</v>
      </c>
      <c r="M619" t="s">
        <v>3207</v>
      </c>
      <c r="N619" t="s">
        <v>393</v>
      </c>
    </row>
    <row r="620" spans="1:14" ht="11.25" customHeight="1">
      <c r="A620" s="1753" t="s">
        <v>2199</v>
      </c>
      <c r="B620" s="1753" t="s">
        <v>14</v>
      </c>
      <c r="C620" s="1753" t="s">
        <v>2667</v>
      </c>
      <c r="D620" s="1753" t="s">
        <v>2668</v>
      </c>
      <c r="E620" s="1753" t="s">
        <v>2669</v>
      </c>
      <c r="F620" s="1753" t="s">
        <v>2670</v>
      </c>
      <c r="G620" s="1753" t="s">
        <v>17</v>
      </c>
      <c r="H620" s="1753" t="s">
        <v>17</v>
      </c>
      <c r="I620" s="1753" t="s">
        <v>2452</v>
      </c>
      <c r="J620" t="s">
        <v>17</v>
      </c>
      <c r="K620" t="s">
        <v>3208</v>
      </c>
      <c r="L620" t="s">
        <v>3206</v>
      </c>
      <c r="M620" t="s">
        <v>3207</v>
      </c>
      <c r="N620" t="s">
        <v>393</v>
      </c>
    </row>
    <row r="621" spans="1:14" ht="11.25" customHeight="1">
      <c r="A621" s="1753" t="s">
        <v>2199</v>
      </c>
      <c r="B621" s="1753" t="s">
        <v>14</v>
      </c>
      <c r="C621" s="1753" t="s">
        <v>2671</v>
      </c>
      <c r="D621" s="1753" t="s">
        <v>2672</v>
      </c>
      <c r="E621" s="1753" t="s">
        <v>2673</v>
      </c>
      <c r="F621" s="1753" t="s">
        <v>2420</v>
      </c>
      <c r="G621" s="1753" t="s">
        <v>17</v>
      </c>
      <c r="H621" s="1753" t="s">
        <v>17</v>
      </c>
      <c r="I621" s="1753" t="s">
        <v>2330</v>
      </c>
      <c r="J621" t="s">
        <v>17</v>
      </c>
      <c r="K621" t="s">
        <v>3200</v>
      </c>
      <c r="L621" t="s">
        <v>3295</v>
      </c>
      <c r="M621" t="s">
        <v>3319</v>
      </c>
      <c r="N621" t="s">
        <v>393</v>
      </c>
    </row>
    <row r="622" spans="1:14" ht="11.25" customHeight="1">
      <c r="A622" s="1753" t="s">
        <v>2199</v>
      </c>
      <c r="B622" s="1753" t="s">
        <v>14</v>
      </c>
      <c r="C622" s="1753" t="s">
        <v>2671</v>
      </c>
      <c r="D622" s="1753" t="s">
        <v>2672</v>
      </c>
      <c r="E622" s="1753" t="s">
        <v>2673</v>
      </c>
      <c r="F622" s="1753" t="s">
        <v>2420</v>
      </c>
      <c r="G622" s="1753" t="s">
        <v>17</v>
      </c>
      <c r="H622" s="1753" t="s">
        <v>17</v>
      </c>
      <c r="I622" s="1753" t="s">
        <v>2330</v>
      </c>
      <c r="J622" t="s">
        <v>17</v>
      </c>
      <c r="K622" t="s">
        <v>3208</v>
      </c>
      <c r="L622" t="s">
        <v>3295</v>
      </c>
      <c r="M622" t="s">
        <v>3319</v>
      </c>
      <c r="N622" t="s">
        <v>393</v>
      </c>
    </row>
    <row r="623" spans="1:14" ht="11.25" customHeight="1">
      <c r="A623" s="1753" t="s">
        <v>2199</v>
      </c>
      <c r="B623" s="1753" t="s">
        <v>14</v>
      </c>
      <c r="C623" s="1753" t="s">
        <v>2674</v>
      </c>
      <c r="D623" s="1753" t="s">
        <v>2675</v>
      </c>
      <c r="E623" s="1753" t="s">
        <v>2676</v>
      </c>
      <c r="F623" s="1753" t="s">
        <v>2677</v>
      </c>
      <c r="G623" s="1753" t="s">
        <v>17</v>
      </c>
      <c r="H623" s="1753" t="s">
        <v>17</v>
      </c>
      <c r="I623" s="1753" t="s">
        <v>2330</v>
      </c>
      <c r="J623" t="s">
        <v>17</v>
      </c>
      <c r="K623" t="s">
        <v>3200</v>
      </c>
      <c r="L623" t="s">
        <v>3206</v>
      </c>
      <c r="M623" t="s">
        <v>3207</v>
      </c>
      <c r="N623" t="s">
        <v>393</v>
      </c>
    </row>
    <row r="624" spans="1:14" ht="11.25" customHeight="1">
      <c r="A624" s="1753" t="s">
        <v>2199</v>
      </c>
      <c r="B624" s="1753" t="s">
        <v>14</v>
      </c>
      <c r="C624" s="1753" t="s">
        <v>2674</v>
      </c>
      <c r="D624" s="1753" t="s">
        <v>2675</v>
      </c>
      <c r="E624" s="1753" t="s">
        <v>2676</v>
      </c>
      <c r="F624" s="1753" t="s">
        <v>2677</v>
      </c>
      <c r="G624" s="1753" t="s">
        <v>17</v>
      </c>
      <c r="H624" s="1753" t="s">
        <v>17</v>
      </c>
      <c r="I624" s="1753" t="s">
        <v>2330</v>
      </c>
      <c r="J624" t="s">
        <v>17</v>
      </c>
      <c r="K624" t="s">
        <v>3208</v>
      </c>
      <c r="L624" t="s">
        <v>3206</v>
      </c>
      <c r="M624" t="s">
        <v>3207</v>
      </c>
      <c r="N624" t="s">
        <v>393</v>
      </c>
    </row>
    <row r="625" spans="1:14" ht="11.25" customHeight="1">
      <c r="A625" s="1753" t="s">
        <v>2199</v>
      </c>
      <c r="B625" s="1753" t="s">
        <v>14</v>
      </c>
      <c r="C625" s="1753" t="s">
        <v>2678</v>
      </c>
      <c r="D625" s="1753" t="s">
        <v>2679</v>
      </c>
      <c r="E625" s="1753" t="s">
        <v>2680</v>
      </c>
      <c r="F625" s="1753" t="s">
        <v>2457</v>
      </c>
      <c r="G625" s="1753" t="s">
        <v>17</v>
      </c>
      <c r="H625" s="1753" t="s">
        <v>17</v>
      </c>
      <c r="I625" s="1753" t="s">
        <v>2330</v>
      </c>
      <c r="J625" t="s">
        <v>17</v>
      </c>
      <c r="K625" t="s">
        <v>3200</v>
      </c>
      <c r="L625" t="s">
        <v>3206</v>
      </c>
      <c r="M625" t="s">
        <v>3207</v>
      </c>
      <c r="N625" t="s">
        <v>393</v>
      </c>
    </row>
    <row r="626" spans="1:14" ht="11.25" customHeight="1">
      <c r="A626" s="1753" t="s">
        <v>2199</v>
      </c>
      <c r="B626" s="1753" t="s">
        <v>14</v>
      </c>
      <c r="C626" s="1753" t="s">
        <v>2678</v>
      </c>
      <c r="D626" s="1753" t="s">
        <v>2679</v>
      </c>
      <c r="E626" s="1753" t="s">
        <v>2680</v>
      </c>
      <c r="F626" s="1753" t="s">
        <v>2457</v>
      </c>
      <c r="G626" s="1753" t="s">
        <v>17</v>
      </c>
      <c r="H626" s="1753" t="s">
        <v>17</v>
      </c>
      <c r="I626" s="1753" t="s">
        <v>2330</v>
      </c>
      <c r="J626" t="s">
        <v>17</v>
      </c>
      <c r="K626" t="s">
        <v>3208</v>
      </c>
      <c r="L626" t="s">
        <v>3206</v>
      </c>
      <c r="M626" t="s">
        <v>3207</v>
      </c>
      <c r="N626" t="s">
        <v>393</v>
      </c>
    </row>
    <row r="627" spans="1:14" ht="11.25" customHeight="1">
      <c r="A627" s="1753" t="s">
        <v>2199</v>
      </c>
      <c r="B627" s="1753" t="s">
        <v>14</v>
      </c>
      <c r="C627" s="1753" t="s">
        <v>2681</v>
      </c>
      <c r="D627" s="1753" t="s">
        <v>2682</v>
      </c>
      <c r="E627" s="1753" t="s">
        <v>2683</v>
      </c>
      <c r="F627" s="1753" t="s">
        <v>2684</v>
      </c>
      <c r="G627" s="1753" t="s">
        <v>17</v>
      </c>
      <c r="H627" s="1753" t="s">
        <v>17</v>
      </c>
      <c r="I627" s="1753" t="s">
        <v>2330</v>
      </c>
      <c r="J627" t="s">
        <v>17</v>
      </c>
      <c r="K627" t="s">
        <v>3200</v>
      </c>
      <c r="L627" t="s">
        <v>3206</v>
      </c>
      <c r="M627" t="s">
        <v>3207</v>
      </c>
      <c r="N627" t="s">
        <v>393</v>
      </c>
    </row>
    <row r="628" spans="1:14" ht="11.25" customHeight="1">
      <c r="A628" s="1753" t="s">
        <v>2199</v>
      </c>
      <c r="B628" s="1753" t="s">
        <v>14</v>
      </c>
      <c r="C628" s="1753" t="s">
        <v>2681</v>
      </c>
      <c r="D628" s="1753" t="s">
        <v>2682</v>
      </c>
      <c r="E628" s="1753" t="s">
        <v>2683</v>
      </c>
      <c r="F628" s="1753" t="s">
        <v>2684</v>
      </c>
      <c r="G628" s="1753" t="s">
        <v>17</v>
      </c>
      <c r="H628" s="1753" t="s">
        <v>17</v>
      </c>
      <c r="I628" s="1753" t="s">
        <v>2330</v>
      </c>
      <c r="J628" t="s">
        <v>17</v>
      </c>
      <c r="K628" t="s">
        <v>3208</v>
      </c>
      <c r="L628" t="s">
        <v>3206</v>
      </c>
      <c r="M628" t="s">
        <v>3207</v>
      </c>
      <c r="N628" t="s">
        <v>393</v>
      </c>
    </row>
    <row r="629" spans="1:14" ht="11.25" customHeight="1">
      <c r="A629" s="1753" t="s">
        <v>2199</v>
      </c>
      <c r="B629" s="1753" t="s">
        <v>14</v>
      </c>
      <c r="C629" s="1753" t="s">
        <v>2685</v>
      </c>
      <c r="D629" s="1753" t="s">
        <v>2686</v>
      </c>
      <c r="E629" s="1753" t="s">
        <v>2687</v>
      </c>
      <c r="F629" s="1753" t="s">
        <v>2424</v>
      </c>
      <c r="G629" s="1753" t="s">
        <v>2688</v>
      </c>
      <c r="H629" s="1753" t="s">
        <v>17</v>
      </c>
      <c r="I629" s="1753" t="s">
        <v>2330</v>
      </c>
      <c r="J629" t="s">
        <v>17</v>
      </c>
      <c r="K629" t="s">
        <v>3200</v>
      </c>
      <c r="L629" t="s">
        <v>3206</v>
      </c>
      <c r="M629" t="s">
        <v>3207</v>
      </c>
      <c r="N629" t="s">
        <v>393</v>
      </c>
    </row>
    <row r="630" spans="1:14" ht="11.25" customHeight="1">
      <c r="A630" s="1753" t="s">
        <v>2199</v>
      </c>
      <c r="B630" s="1753" t="s">
        <v>14</v>
      </c>
      <c r="C630" s="1753" t="s">
        <v>2685</v>
      </c>
      <c r="D630" s="1753" t="s">
        <v>2686</v>
      </c>
      <c r="E630" s="1753" t="s">
        <v>2687</v>
      </c>
      <c r="F630" s="1753" t="s">
        <v>2424</v>
      </c>
      <c r="G630" s="1753" t="s">
        <v>2688</v>
      </c>
      <c r="H630" s="1753" t="s">
        <v>17</v>
      </c>
      <c r="I630" s="1753" t="s">
        <v>2330</v>
      </c>
      <c r="J630" t="s">
        <v>17</v>
      </c>
      <c r="K630" t="s">
        <v>3208</v>
      </c>
      <c r="L630" t="s">
        <v>3206</v>
      </c>
      <c r="M630" t="s">
        <v>3207</v>
      </c>
      <c r="N630" t="s">
        <v>393</v>
      </c>
    </row>
    <row r="631" spans="1:14" ht="11.25" customHeight="1">
      <c r="A631" s="1753" t="s">
        <v>2199</v>
      </c>
      <c r="B631" s="1753" t="s">
        <v>14</v>
      </c>
      <c r="C631" s="1753" t="s">
        <v>2692</v>
      </c>
      <c r="D631" s="1753" t="s">
        <v>2693</v>
      </c>
      <c r="E631" s="1753" t="s">
        <v>2694</v>
      </c>
      <c r="F631" s="1753" t="s">
        <v>2695</v>
      </c>
      <c r="G631" s="1753" t="s">
        <v>17</v>
      </c>
      <c r="H631" s="1753" t="s">
        <v>17</v>
      </c>
      <c r="I631" s="1753" t="s">
        <v>2330</v>
      </c>
      <c r="J631" t="s">
        <v>17</v>
      </c>
      <c r="K631" t="s">
        <v>3200</v>
      </c>
      <c r="L631" t="s">
        <v>3206</v>
      </c>
      <c r="M631" t="s">
        <v>3207</v>
      </c>
      <c r="N631" t="s">
        <v>393</v>
      </c>
    </row>
    <row r="632" spans="1:14" ht="11.25" customHeight="1">
      <c r="A632" s="1753" t="s">
        <v>2199</v>
      </c>
      <c r="B632" s="1753" t="s">
        <v>14</v>
      </c>
      <c r="C632" s="1753" t="s">
        <v>2692</v>
      </c>
      <c r="D632" s="1753" t="s">
        <v>2693</v>
      </c>
      <c r="E632" s="1753" t="s">
        <v>2694</v>
      </c>
      <c r="F632" s="1753" t="s">
        <v>2695</v>
      </c>
      <c r="G632" s="1753" t="s">
        <v>17</v>
      </c>
      <c r="H632" s="1753" t="s">
        <v>17</v>
      </c>
      <c r="I632" s="1753" t="s">
        <v>2330</v>
      </c>
      <c r="J632" t="s">
        <v>17</v>
      </c>
      <c r="K632" t="s">
        <v>3208</v>
      </c>
      <c r="L632" t="s">
        <v>3206</v>
      </c>
      <c r="M632" t="s">
        <v>3207</v>
      </c>
      <c r="N632" t="s">
        <v>393</v>
      </c>
    </row>
    <row r="633" spans="1:14" ht="11.25" customHeight="1">
      <c r="A633" s="1753" t="s">
        <v>2199</v>
      </c>
      <c r="B633" s="1753" t="s">
        <v>14</v>
      </c>
      <c r="C633" s="1753" t="s">
        <v>2696</v>
      </c>
      <c r="D633" s="1753" t="s">
        <v>2697</v>
      </c>
      <c r="E633" s="1753" t="s">
        <v>2698</v>
      </c>
      <c r="F633" s="1753" t="s">
        <v>2539</v>
      </c>
      <c r="G633" s="1753" t="s">
        <v>17</v>
      </c>
      <c r="H633" s="1753" t="s">
        <v>17</v>
      </c>
      <c r="I633" s="1753" t="s">
        <v>2330</v>
      </c>
      <c r="J633" t="s">
        <v>17</v>
      </c>
      <c r="K633" t="s">
        <v>3200</v>
      </c>
      <c r="L633" t="s">
        <v>3206</v>
      </c>
      <c r="M633" t="s">
        <v>3207</v>
      </c>
      <c r="N633" t="s">
        <v>393</v>
      </c>
    </row>
    <row r="634" spans="1:14" ht="11.25" customHeight="1">
      <c r="A634" s="1753" t="s">
        <v>2199</v>
      </c>
      <c r="B634" s="1753" t="s">
        <v>14</v>
      </c>
      <c r="C634" s="1753" t="s">
        <v>2696</v>
      </c>
      <c r="D634" s="1753" t="s">
        <v>2697</v>
      </c>
      <c r="E634" s="1753" t="s">
        <v>2698</v>
      </c>
      <c r="F634" s="1753" t="s">
        <v>2539</v>
      </c>
      <c r="G634" s="1753" t="s">
        <v>17</v>
      </c>
      <c r="H634" s="1753" t="s">
        <v>17</v>
      </c>
      <c r="I634" s="1753" t="s">
        <v>2330</v>
      </c>
      <c r="J634" t="s">
        <v>17</v>
      </c>
      <c r="K634" t="s">
        <v>3208</v>
      </c>
      <c r="L634" t="s">
        <v>3206</v>
      </c>
      <c r="M634" t="s">
        <v>3207</v>
      </c>
      <c r="N634" t="s">
        <v>393</v>
      </c>
    </row>
    <row r="635" spans="1:14" ht="11.25" customHeight="1">
      <c r="A635" s="1753" t="s">
        <v>2199</v>
      </c>
      <c r="B635" s="1753" t="s">
        <v>14</v>
      </c>
      <c r="C635" s="1753" t="s">
        <v>3396</v>
      </c>
      <c r="D635" s="1753" t="s">
        <v>3397</v>
      </c>
      <c r="E635" s="1753" t="s">
        <v>3398</v>
      </c>
      <c r="F635" s="1753" t="s">
        <v>2457</v>
      </c>
      <c r="G635" s="1753" t="s">
        <v>3399</v>
      </c>
      <c r="H635" s="1753" t="s">
        <v>17</v>
      </c>
      <c r="I635" s="1753" t="s">
        <v>2330</v>
      </c>
      <c r="J635" t="s">
        <v>17</v>
      </c>
      <c r="K635" t="s">
        <v>3200</v>
      </c>
      <c r="L635" t="s">
        <v>3206</v>
      </c>
      <c r="M635" t="s">
        <v>3207</v>
      </c>
      <c r="N635" t="s">
        <v>393</v>
      </c>
    </row>
    <row r="636" spans="1:14" ht="11.25" customHeight="1">
      <c r="A636" s="1753" t="s">
        <v>2199</v>
      </c>
      <c r="B636" s="1753" t="s">
        <v>14</v>
      </c>
      <c r="C636" s="1753" t="s">
        <v>3396</v>
      </c>
      <c r="D636" s="1753" t="s">
        <v>3397</v>
      </c>
      <c r="E636" s="1753" t="s">
        <v>3398</v>
      </c>
      <c r="F636" s="1753" t="s">
        <v>2457</v>
      </c>
      <c r="G636" s="1753" t="s">
        <v>3399</v>
      </c>
      <c r="H636" s="1753" t="s">
        <v>17</v>
      </c>
      <c r="I636" s="1753" t="s">
        <v>2330</v>
      </c>
      <c r="J636" t="s">
        <v>17</v>
      </c>
      <c r="K636" t="s">
        <v>3208</v>
      </c>
      <c r="L636" t="s">
        <v>3206</v>
      </c>
      <c r="M636" t="s">
        <v>3207</v>
      </c>
      <c r="N636" t="s">
        <v>393</v>
      </c>
    </row>
    <row r="637" spans="1:14" ht="11.25" customHeight="1">
      <c r="A637" s="1753" t="s">
        <v>2199</v>
      </c>
      <c r="B637" s="1753" t="s">
        <v>14</v>
      </c>
      <c r="C637" s="1753" t="s">
        <v>2699</v>
      </c>
      <c r="D637" s="1753" t="s">
        <v>2700</v>
      </c>
      <c r="E637" s="1753" t="s">
        <v>2701</v>
      </c>
      <c r="F637" s="1753" t="s">
        <v>2653</v>
      </c>
      <c r="G637" s="1753" t="s">
        <v>17</v>
      </c>
      <c r="H637" s="1753" t="s">
        <v>17</v>
      </c>
      <c r="I637" s="1753" t="s">
        <v>2330</v>
      </c>
      <c r="J637" t="s">
        <v>17</v>
      </c>
      <c r="K637" t="s">
        <v>3200</v>
      </c>
      <c r="L637" t="s">
        <v>3206</v>
      </c>
      <c r="M637" t="s">
        <v>3207</v>
      </c>
      <c r="N637" t="s">
        <v>393</v>
      </c>
    </row>
    <row r="638" spans="1:14" ht="11.25" customHeight="1">
      <c r="A638" s="1753" t="s">
        <v>2199</v>
      </c>
      <c r="B638" s="1753" t="s">
        <v>14</v>
      </c>
      <c r="C638" s="1753" t="s">
        <v>2699</v>
      </c>
      <c r="D638" s="1753" t="s">
        <v>2700</v>
      </c>
      <c r="E638" s="1753" t="s">
        <v>2701</v>
      </c>
      <c r="F638" s="1753" t="s">
        <v>2653</v>
      </c>
      <c r="G638" s="1753" t="s">
        <v>17</v>
      </c>
      <c r="H638" s="1753" t="s">
        <v>17</v>
      </c>
      <c r="I638" s="1753" t="s">
        <v>2330</v>
      </c>
      <c r="J638" t="s">
        <v>17</v>
      </c>
      <c r="K638" t="s">
        <v>3208</v>
      </c>
      <c r="L638" t="s">
        <v>3206</v>
      </c>
      <c r="M638" t="s">
        <v>3207</v>
      </c>
      <c r="N638" t="s">
        <v>393</v>
      </c>
    </row>
    <row r="639" spans="1:14" ht="11.25" customHeight="1">
      <c r="A639" s="1753" t="s">
        <v>2199</v>
      </c>
      <c r="B639" s="1753" t="s">
        <v>14</v>
      </c>
      <c r="C639" s="1753" t="s">
        <v>2702</v>
      </c>
      <c r="D639" s="1753" t="s">
        <v>2703</v>
      </c>
      <c r="E639" s="1753" t="s">
        <v>2704</v>
      </c>
      <c r="F639" s="1753" t="s">
        <v>2705</v>
      </c>
      <c r="G639" s="1753" t="s">
        <v>17</v>
      </c>
      <c r="H639" s="1753" t="s">
        <v>17</v>
      </c>
      <c r="I639" s="1753" t="s">
        <v>2246</v>
      </c>
      <c r="J639" t="s">
        <v>17</v>
      </c>
      <c r="K639" t="s">
        <v>3200</v>
      </c>
      <c r="L639" t="s">
        <v>3206</v>
      </c>
      <c r="M639" t="s">
        <v>3207</v>
      </c>
      <c r="N639" t="s">
        <v>393</v>
      </c>
    </row>
    <row r="640" spans="1:14" ht="11.25" customHeight="1">
      <c r="A640" s="1753" t="s">
        <v>2199</v>
      </c>
      <c r="B640" s="1753" t="s">
        <v>14</v>
      </c>
      <c r="C640" s="1753" t="s">
        <v>2702</v>
      </c>
      <c r="D640" s="1753" t="s">
        <v>2703</v>
      </c>
      <c r="E640" s="1753" t="s">
        <v>2704</v>
      </c>
      <c r="F640" s="1753" t="s">
        <v>2705</v>
      </c>
      <c r="G640" s="1753" t="s">
        <v>17</v>
      </c>
      <c r="H640" s="1753" t="s">
        <v>17</v>
      </c>
      <c r="I640" s="1753" t="s">
        <v>2246</v>
      </c>
      <c r="J640" t="s">
        <v>17</v>
      </c>
      <c r="K640" t="s">
        <v>3208</v>
      </c>
      <c r="L640" t="s">
        <v>3206</v>
      </c>
      <c r="M640" t="s">
        <v>3207</v>
      </c>
      <c r="N640" t="s">
        <v>393</v>
      </c>
    </row>
    <row r="641" spans="1:14" ht="11.25" customHeight="1">
      <c r="A641" s="1753" t="s">
        <v>2199</v>
      </c>
      <c r="B641" s="1753" t="s">
        <v>14</v>
      </c>
      <c r="C641" s="1753" t="s">
        <v>2706</v>
      </c>
      <c r="D641" s="1753" t="s">
        <v>2707</v>
      </c>
      <c r="E641" s="1753" t="s">
        <v>2708</v>
      </c>
      <c r="F641" s="1753" t="s">
        <v>2653</v>
      </c>
      <c r="G641" s="1753" t="s">
        <v>17</v>
      </c>
      <c r="H641" s="1753" t="s">
        <v>17</v>
      </c>
      <c r="I641" s="1753" t="s">
        <v>2330</v>
      </c>
      <c r="J641" t="s">
        <v>17</v>
      </c>
      <c r="K641" t="s">
        <v>3200</v>
      </c>
      <c r="L641" t="s">
        <v>3206</v>
      </c>
      <c r="M641" t="s">
        <v>3207</v>
      </c>
      <c r="N641" t="s">
        <v>393</v>
      </c>
    </row>
    <row r="642" spans="1:14" ht="11.25" customHeight="1">
      <c r="A642" s="1753" t="s">
        <v>2199</v>
      </c>
      <c r="B642" s="1753" t="s">
        <v>14</v>
      </c>
      <c r="C642" s="1753" t="s">
        <v>2706</v>
      </c>
      <c r="D642" s="1753" t="s">
        <v>2707</v>
      </c>
      <c r="E642" s="1753" t="s">
        <v>2708</v>
      </c>
      <c r="F642" s="1753" t="s">
        <v>2653</v>
      </c>
      <c r="G642" s="1753" t="s">
        <v>17</v>
      </c>
      <c r="H642" s="1753" t="s">
        <v>17</v>
      </c>
      <c r="I642" s="1753" t="s">
        <v>2330</v>
      </c>
      <c r="J642" t="s">
        <v>17</v>
      </c>
      <c r="K642" t="s">
        <v>3208</v>
      </c>
      <c r="L642" t="s">
        <v>3206</v>
      </c>
      <c r="M642" t="s">
        <v>3207</v>
      </c>
      <c r="N642" t="s">
        <v>393</v>
      </c>
    </row>
    <row r="643" spans="1:14" ht="11.25" customHeight="1">
      <c r="A643" s="1753" t="s">
        <v>2199</v>
      </c>
      <c r="B643" s="1753" t="s">
        <v>14</v>
      </c>
      <c r="C643" s="1753" t="s">
        <v>3400</v>
      </c>
      <c r="D643" s="1753" t="s">
        <v>3401</v>
      </c>
      <c r="E643" s="1753" t="s">
        <v>3402</v>
      </c>
      <c r="F643" s="1753" t="s">
        <v>2705</v>
      </c>
      <c r="G643" s="1753" t="s">
        <v>17</v>
      </c>
      <c r="H643" s="1753" t="s">
        <v>17</v>
      </c>
      <c r="I643" s="1753" t="s">
        <v>2246</v>
      </c>
      <c r="J643" t="s">
        <v>17</v>
      </c>
      <c r="K643" t="s">
        <v>3200</v>
      </c>
      <c r="L643" t="s">
        <v>3206</v>
      </c>
      <c r="M643" t="s">
        <v>3207</v>
      </c>
      <c r="N643" t="s">
        <v>393</v>
      </c>
    </row>
    <row r="644" spans="1:14" ht="11.25" customHeight="1">
      <c r="A644" s="1753" t="s">
        <v>2199</v>
      </c>
      <c r="B644" s="1753" t="s">
        <v>14</v>
      </c>
      <c r="C644" s="1753" t="s">
        <v>3400</v>
      </c>
      <c r="D644" s="1753" t="s">
        <v>3401</v>
      </c>
      <c r="E644" s="1753" t="s">
        <v>3402</v>
      </c>
      <c r="F644" s="1753" t="s">
        <v>2705</v>
      </c>
      <c r="G644" s="1753" t="s">
        <v>17</v>
      </c>
      <c r="H644" s="1753" t="s">
        <v>17</v>
      </c>
      <c r="I644" s="1753" t="s">
        <v>2246</v>
      </c>
      <c r="J644" t="s">
        <v>17</v>
      </c>
      <c r="K644" t="s">
        <v>3208</v>
      </c>
      <c r="L644" t="s">
        <v>3206</v>
      </c>
      <c r="M644" t="s">
        <v>3207</v>
      </c>
      <c r="N644" t="s">
        <v>393</v>
      </c>
    </row>
    <row r="645" spans="1:14" ht="11.25" customHeight="1">
      <c r="A645" s="1753" t="s">
        <v>2199</v>
      </c>
      <c r="B645" s="1753" t="s">
        <v>14</v>
      </c>
      <c r="C645" s="1753" t="s">
        <v>3403</v>
      </c>
      <c r="D645" s="1753" t="s">
        <v>3404</v>
      </c>
      <c r="E645" s="1753" t="s">
        <v>3405</v>
      </c>
      <c r="F645" s="1753" t="s">
        <v>2457</v>
      </c>
      <c r="G645" s="1753" t="s">
        <v>3406</v>
      </c>
      <c r="H645" s="1753" t="s">
        <v>17</v>
      </c>
      <c r="I645" s="1753" t="s">
        <v>2469</v>
      </c>
      <c r="J645" t="s">
        <v>17</v>
      </c>
      <c r="K645" t="s">
        <v>3200</v>
      </c>
      <c r="L645" t="s">
        <v>3206</v>
      </c>
      <c r="M645" t="s">
        <v>3207</v>
      </c>
      <c r="N645" t="s">
        <v>393</v>
      </c>
    </row>
    <row r="646" spans="1:14" ht="11.25" customHeight="1">
      <c r="A646" s="1753" t="s">
        <v>2199</v>
      </c>
      <c r="B646" s="1753" t="s">
        <v>14</v>
      </c>
      <c r="C646" s="1753" t="s">
        <v>3403</v>
      </c>
      <c r="D646" s="1753" t="s">
        <v>3404</v>
      </c>
      <c r="E646" s="1753" t="s">
        <v>3405</v>
      </c>
      <c r="F646" s="1753" t="s">
        <v>2457</v>
      </c>
      <c r="G646" s="1753" t="s">
        <v>3406</v>
      </c>
      <c r="H646" s="1753" t="s">
        <v>17</v>
      </c>
      <c r="I646" s="1753" t="s">
        <v>2469</v>
      </c>
      <c r="J646" t="s">
        <v>17</v>
      </c>
      <c r="K646" t="s">
        <v>3208</v>
      </c>
      <c r="L646" t="s">
        <v>3206</v>
      </c>
      <c r="M646" t="s">
        <v>3207</v>
      </c>
      <c r="N646" t="s">
        <v>393</v>
      </c>
    </row>
    <row r="647" spans="1:14" ht="11.25" customHeight="1">
      <c r="A647" s="1753" t="s">
        <v>2199</v>
      </c>
      <c r="B647" s="1753" t="s">
        <v>14</v>
      </c>
      <c r="C647" s="1753" t="s">
        <v>3407</v>
      </c>
      <c r="D647" s="1753" t="s">
        <v>3408</v>
      </c>
      <c r="E647" s="1753" t="s">
        <v>3409</v>
      </c>
      <c r="F647" s="1753" t="s">
        <v>2457</v>
      </c>
      <c r="G647" s="1753" t="s">
        <v>17</v>
      </c>
      <c r="H647" s="1753" t="s">
        <v>17</v>
      </c>
      <c r="I647" s="1753" t="s">
        <v>2330</v>
      </c>
      <c r="J647" t="s">
        <v>17</v>
      </c>
      <c r="K647" t="s">
        <v>3200</v>
      </c>
      <c r="L647" t="s">
        <v>3206</v>
      </c>
      <c r="M647" t="s">
        <v>3207</v>
      </c>
      <c r="N647" t="s">
        <v>393</v>
      </c>
    </row>
    <row r="648" spans="1:14" ht="11.25" customHeight="1">
      <c r="A648" s="1753" t="s">
        <v>2199</v>
      </c>
      <c r="B648" s="1753" t="s">
        <v>14</v>
      </c>
      <c r="C648" s="1753" t="s">
        <v>3407</v>
      </c>
      <c r="D648" s="1753" t="s">
        <v>3408</v>
      </c>
      <c r="E648" s="1753" t="s">
        <v>3409</v>
      </c>
      <c r="F648" s="1753" t="s">
        <v>2457</v>
      </c>
      <c r="G648" s="1753" t="s">
        <v>17</v>
      </c>
      <c r="H648" s="1753" t="s">
        <v>17</v>
      </c>
      <c r="I648" s="1753" t="s">
        <v>2330</v>
      </c>
      <c r="J648" t="s">
        <v>17</v>
      </c>
      <c r="K648" t="s">
        <v>3208</v>
      </c>
      <c r="L648" t="s">
        <v>3206</v>
      </c>
      <c r="M648" t="s">
        <v>3207</v>
      </c>
      <c r="N648" t="s">
        <v>393</v>
      </c>
    </row>
    <row r="649" spans="1:14" ht="11.25" customHeight="1">
      <c r="A649" s="1753" t="s">
        <v>2199</v>
      </c>
      <c r="B649" s="1753" t="s">
        <v>14</v>
      </c>
      <c r="C649" s="1753" t="s">
        <v>3410</v>
      </c>
      <c r="D649" s="1753" t="s">
        <v>3411</v>
      </c>
      <c r="E649" s="1753" t="s">
        <v>3412</v>
      </c>
      <c r="F649" s="1753" t="s">
        <v>2424</v>
      </c>
      <c r="G649" s="1753" t="s">
        <v>17</v>
      </c>
      <c r="H649" s="1753" t="s">
        <v>17</v>
      </c>
      <c r="I649" s="1753" t="s">
        <v>2330</v>
      </c>
      <c r="J649" t="s">
        <v>17</v>
      </c>
      <c r="K649" t="s">
        <v>3200</v>
      </c>
      <c r="L649" t="s">
        <v>3413</v>
      </c>
      <c r="M649" t="s">
        <v>3414</v>
      </c>
      <c r="N649" t="s">
        <v>393</v>
      </c>
    </row>
    <row r="650" spans="1:14" ht="11.25" customHeight="1">
      <c r="A650" s="1753" t="s">
        <v>2199</v>
      </c>
      <c r="B650" s="1753" t="s">
        <v>14</v>
      </c>
      <c r="C650" s="1753" t="s">
        <v>3410</v>
      </c>
      <c r="D650" s="1753" t="s">
        <v>3411</v>
      </c>
      <c r="E650" s="1753" t="s">
        <v>3412</v>
      </c>
      <c r="F650" s="1753" t="s">
        <v>2424</v>
      </c>
      <c r="G650" s="1753" t="s">
        <v>17</v>
      </c>
      <c r="H650" s="1753" t="s">
        <v>17</v>
      </c>
      <c r="I650" s="1753" t="s">
        <v>2330</v>
      </c>
      <c r="J650" t="s">
        <v>17</v>
      </c>
      <c r="K650" t="s">
        <v>3208</v>
      </c>
      <c r="L650" t="s">
        <v>3413</v>
      </c>
      <c r="M650" t="s">
        <v>3414</v>
      </c>
      <c r="N650" t="s">
        <v>393</v>
      </c>
    </row>
    <row r="651" spans="1:14" ht="11.25" customHeight="1">
      <c r="A651" s="1753" t="s">
        <v>2199</v>
      </c>
      <c r="B651" s="1753" t="s">
        <v>14</v>
      </c>
      <c r="C651" s="1753" t="s">
        <v>3415</v>
      </c>
      <c r="D651" s="1753" t="s">
        <v>3416</v>
      </c>
      <c r="E651" s="1753" t="s">
        <v>3417</v>
      </c>
      <c r="F651" s="1753" t="s">
        <v>2539</v>
      </c>
      <c r="G651" s="1753" t="s">
        <v>17</v>
      </c>
      <c r="H651" s="1753" t="s">
        <v>17</v>
      </c>
      <c r="I651" s="1753" t="s">
        <v>2330</v>
      </c>
      <c r="J651" t="s">
        <v>17</v>
      </c>
      <c r="K651" t="s">
        <v>3200</v>
      </c>
      <c r="L651" t="s">
        <v>3201</v>
      </c>
      <c r="M651" t="s">
        <v>3202</v>
      </c>
      <c r="N651" t="s">
        <v>393</v>
      </c>
    </row>
    <row r="652" spans="1:14" ht="11.25" customHeight="1">
      <c r="A652" s="1753" t="s">
        <v>2199</v>
      </c>
      <c r="B652" s="1753" t="s">
        <v>14</v>
      </c>
      <c r="C652" s="1753" t="s">
        <v>2743</v>
      </c>
      <c r="D652" s="1753" t="s">
        <v>2744</v>
      </c>
      <c r="E652" s="1753" t="s">
        <v>2745</v>
      </c>
      <c r="F652" s="1753" t="s">
        <v>2746</v>
      </c>
      <c r="G652" s="1753" t="s">
        <v>17</v>
      </c>
      <c r="H652" s="1753" t="s">
        <v>17</v>
      </c>
      <c r="I652" s="1753" t="s">
        <v>2330</v>
      </c>
      <c r="J652" t="s">
        <v>17</v>
      </c>
      <c r="K652" t="s">
        <v>3200</v>
      </c>
      <c r="L652" t="s">
        <v>3206</v>
      </c>
      <c r="M652" t="s">
        <v>3207</v>
      </c>
      <c r="N652" t="s">
        <v>393</v>
      </c>
    </row>
    <row r="653" spans="1:14" ht="11.25" customHeight="1">
      <c r="A653" s="1753" t="s">
        <v>2199</v>
      </c>
      <c r="B653" s="1753" t="s">
        <v>14</v>
      </c>
      <c r="C653" s="1753" t="s">
        <v>2743</v>
      </c>
      <c r="D653" s="1753" t="s">
        <v>2744</v>
      </c>
      <c r="E653" s="1753" t="s">
        <v>2745</v>
      </c>
      <c r="F653" s="1753" t="s">
        <v>2746</v>
      </c>
      <c r="G653" s="1753" t="s">
        <v>17</v>
      </c>
      <c r="H653" s="1753" t="s">
        <v>17</v>
      </c>
      <c r="I653" s="1753" t="s">
        <v>2330</v>
      </c>
      <c r="J653" t="s">
        <v>17</v>
      </c>
      <c r="K653" t="s">
        <v>3208</v>
      </c>
      <c r="L653" t="s">
        <v>3206</v>
      </c>
      <c r="M653" t="s">
        <v>3207</v>
      </c>
      <c r="N653" t="s">
        <v>393</v>
      </c>
    </row>
    <row r="654" spans="1:14" ht="11.25" customHeight="1">
      <c r="A654" s="1753" t="s">
        <v>2199</v>
      </c>
      <c r="B654" s="1753" t="s">
        <v>14</v>
      </c>
      <c r="C654" s="1753" t="s">
        <v>3418</v>
      </c>
      <c r="D654" s="1753" t="s">
        <v>3419</v>
      </c>
      <c r="E654" s="1753" t="s">
        <v>3420</v>
      </c>
      <c r="F654" s="1753" t="s">
        <v>2223</v>
      </c>
      <c r="G654" s="1753" t="s">
        <v>3421</v>
      </c>
      <c r="H654" s="1753" t="s">
        <v>17</v>
      </c>
      <c r="I654" s="1753" t="s">
        <v>2827</v>
      </c>
      <c r="J654" t="s">
        <v>17</v>
      </c>
      <c r="K654" t="s">
        <v>3200</v>
      </c>
      <c r="L654" t="s">
        <v>3206</v>
      </c>
      <c r="M654" t="s">
        <v>3207</v>
      </c>
      <c r="N654" t="s">
        <v>393</v>
      </c>
    </row>
    <row r="655" spans="1:14" ht="11.25" customHeight="1">
      <c r="A655" s="1753" t="s">
        <v>2199</v>
      </c>
      <c r="B655" s="1753" t="s">
        <v>14</v>
      </c>
      <c r="C655" s="1753" t="s">
        <v>3418</v>
      </c>
      <c r="D655" s="1753" t="s">
        <v>3419</v>
      </c>
      <c r="E655" s="1753" t="s">
        <v>3420</v>
      </c>
      <c r="F655" s="1753" t="s">
        <v>2223</v>
      </c>
      <c r="G655" s="1753" t="s">
        <v>3421</v>
      </c>
      <c r="H655" s="1753" t="s">
        <v>17</v>
      </c>
      <c r="I655" s="1753" t="s">
        <v>2827</v>
      </c>
      <c r="J655" t="s">
        <v>17</v>
      </c>
      <c r="K655" t="s">
        <v>3208</v>
      </c>
      <c r="L655" t="s">
        <v>3206</v>
      </c>
      <c r="M655" t="s">
        <v>3207</v>
      </c>
      <c r="N655" t="s">
        <v>393</v>
      </c>
    </row>
    <row r="656" spans="1:14" ht="11.25" customHeight="1">
      <c r="A656" s="1753" t="s">
        <v>2199</v>
      </c>
      <c r="B656" s="1753" t="s">
        <v>14</v>
      </c>
      <c r="C656" s="1753" t="s">
        <v>2753</v>
      </c>
      <c r="D656" s="1753" t="s">
        <v>45</v>
      </c>
      <c r="E656" s="1753" t="s">
        <v>48</v>
      </c>
      <c r="F656" s="1753" t="s">
        <v>50</v>
      </c>
      <c r="G656" s="1753" t="s">
        <v>17</v>
      </c>
      <c r="H656" s="1753" t="s">
        <v>17</v>
      </c>
      <c r="I656" s="1753" t="s">
        <v>2214</v>
      </c>
      <c r="J656" t="s">
        <v>17</v>
      </c>
      <c r="K656" t="s">
        <v>3200</v>
      </c>
      <c r="L656" t="s">
        <v>3201</v>
      </c>
      <c r="M656" t="s">
        <v>3202</v>
      </c>
      <c r="N656" t="s">
        <v>393</v>
      </c>
    </row>
    <row r="657" spans="1:14" ht="11.25" customHeight="1">
      <c r="A657" s="1753" t="s">
        <v>2199</v>
      </c>
      <c r="B657" s="1753" t="s">
        <v>14</v>
      </c>
      <c r="C657" s="1753" t="s">
        <v>3422</v>
      </c>
      <c r="D657" s="1753" t="s">
        <v>3423</v>
      </c>
      <c r="E657" s="1753" t="s">
        <v>3424</v>
      </c>
      <c r="F657" s="1753" t="s">
        <v>2380</v>
      </c>
      <c r="G657" s="1753" t="s">
        <v>17</v>
      </c>
      <c r="H657" s="1753" t="s">
        <v>17</v>
      </c>
      <c r="I657" s="1753" t="s">
        <v>3425</v>
      </c>
      <c r="J657" t="s">
        <v>17</v>
      </c>
      <c r="K657" t="s">
        <v>3200</v>
      </c>
      <c r="L657" t="s">
        <v>3206</v>
      </c>
      <c r="M657" t="s">
        <v>3207</v>
      </c>
      <c r="N657" t="s">
        <v>393</v>
      </c>
    </row>
    <row r="658" spans="1:14" ht="11.25" customHeight="1">
      <c r="A658" s="1753" t="s">
        <v>2199</v>
      </c>
      <c r="B658" s="1753" t="s">
        <v>14</v>
      </c>
      <c r="C658" s="1753" t="s">
        <v>3422</v>
      </c>
      <c r="D658" s="1753" t="s">
        <v>3423</v>
      </c>
      <c r="E658" s="1753" t="s">
        <v>3424</v>
      </c>
      <c r="F658" s="1753" t="s">
        <v>2380</v>
      </c>
      <c r="G658" s="1753" t="s">
        <v>17</v>
      </c>
      <c r="H658" s="1753" t="s">
        <v>17</v>
      </c>
      <c r="I658" s="1753" t="s">
        <v>3425</v>
      </c>
      <c r="J658" t="s">
        <v>17</v>
      </c>
      <c r="K658" t="s">
        <v>3208</v>
      </c>
      <c r="L658" t="s">
        <v>3206</v>
      </c>
      <c r="M658" t="s">
        <v>3207</v>
      </c>
      <c r="N658" t="s">
        <v>393</v>
      </c>
    </row>
    <row r="659" spans="1:14" ht="11.25" customHeight="1">
      <c r="A659" s="1753" t="s">
        <v>2199</v>
      </c>
      <c r="B659" s="1753" t="s">
        <v>14</v>
      </c>
      <c r="C659" s="1753" t="s">
        <v>3426</v>
      </c>
      <c r="D659" s="1753" t="s">
        <v>3427</v>
      </c>
      <c r="E659" s="1753" t="s">
        <v>3428</v>
      </c>
      <c r="F659" s="1753" t="s">
        <v>2705</v>
      </c>
      <c r="G659" s="1753" t="s">
        <v>17</v>
      </c>
      <c r="H659" s="1753" t="s">
        <v>17</v>
      </c>
      <c r="I659" s="1753" t="s">
        <v>2983</v>
      </c>
      <c r="J659" t="s">
        <v>17</v>
      </c>
      <c r="K659" t="s">
        <v>3200</v>
      </c>
      <c r="L659" t="s">
        <v>3295</v>
      </c>
      <c r="M659" t="s">
        <v>3296</v>
      </c>
      <c r="N659" t="s">
        <v>393</v>
      </c>
    </row>
    <row r="660" spans="1:14" ht="11.25" customHeight="1">
      <c r="A660" s="1753" t="s">
        <v>2199</v>
      </c>
      <c r="B660" s="1753" t="s">
        <v>14</v>
      </c>
      <c r="C660" s="1753" t="s">
        <v>3429</v>
      </c>
      <c r="D660" s="1753" t="s">
        <v>3430</v>
      </c>
      <c r="E660" s="1753" t="s">
        <v>3431</v>
      </c>
      <c r="F660" s="1753" t="s">
        <v>2457</v>
      </c>
      <c r="G660" s="1753" t="s">
        <v>17</v>
      </c>
      <c r="H660" s="1753" t="s">
        <v>17</v>
      </c>
      <c r="I660" s="1753" t="s">
        <v>2330</v>
      </c>
      <c r="J660" t="s">
        <v>17</v>
      </c>
      <c r="K660" t="s">
        <v>3200</v>
      </c>
      <c r="L660" t="s">
        <v>3206</v>
      </c>
      <c r="M660" t="s">
        <v>3207</v>
      </c>
      <c r="N660" t="s">
        <v>393</v>
      </c>
    </row>
    <row r="661" spans="1:14" ht="11.25" customHeight="1">
      <c r="A661" s="1753" t="s">
        <v>2199</v>
      </c>
      <c r="B661" s="1753" t="s">
        <v>14</v>
      </c>
      <c r="C661" s="1753" t="s">
        <v>3429</v>
      </c>
      <c r="D661" s="1753" t="s">
        <v>3430</v>
      </c>
      <c r="E661" s="1753" t="s">
        <v>3431</v>
      </c>
      <c r="F661" s="1753" t="s">
        <v>2457</v>
      </c>
      <c r="G661" s="1753" t="s">
        <v>17</v>
      </c>
      <c r="H661" s="1753" t="s">
        <v>17</v>
      </c>
      <c r="I661" s="1753" t="s">
        <v>2330</v>
      </c>
      <c r="J661" t="s">
        <v>17</v>
      </c>
      <c r="K661" t="s">
        <v>3208</v>
      </c>
      <c r="L661" t="s">
        <v>3206</v>
      </c>
      <c r="M661" t="s">
        <v>3207</v>
      </c>
      <c r="N661" t="s">
        <v>393</v>
      </c>
    </row>
    <row r="662" spans="1:14" ht="11.25" customHeight="1">
      <c r="A662" s="1753" t="s">
        <v>2199</v>
      </c>
      <c r="B662" s="1753" t="s">
        <v>14</v>
      </c>
      <c r="C662" s="1753" t="s">
        <v>2795</v>
      </c>
      <c r="D662" s="1753" t="s">
        <v>2796</v>
      </c>
      <c r="E662" s="1753" t="s">
        <v>2797</v>
      </c>
      <c r="F662" s="1753" t="s">
        <v>2798</v>
      </c>
      <c r="G662" s="1753" t="s">
        <v>17</v>
      </c>
      <c r="H662" s="1753" t="s">
        <v>17</v>
      </c>
      <c r="I662" s="1753" t="s">
        <v>2330</v>
      </c>
      <c r="J662" t="s">
        <v>17</v>
      </c>
      <c r="K662" t="s">
        <v>3200</v>
      </c>
      <c r="L662" t="s">
        <v>3206</v>
      </c>
      <c r="M662" t="s">
        <v>3207</v>
      </c>
      <c r="N662" t="s">
        <v>393</v>
      </c>
    </row>
    <row r="663" spans="1:14" ht="11.25" customHeight="1">
      <c r="A663" s="1753" t="s">
        <v>2199</v>
      </c>
      <c r="B663" s="1753" t="s">
        <v>14</v>
      </c>
      <c r="C663" s="1753" t="s">
        <v>2795</v>
      </c>
      <c r="D663" s="1753" t="s">
        <v>2796</v>
      </c>
      <c r="E663" s="1753" t="s">
        <v>2797</v>
      </c>
      <c r="F663" s="1753" t="s">
        <v>2798</v>
      </c>
      <c r="G663" s="1753" t="s">
        <v>17</v>
      </c>
      <c r="H663" s="1753" t="s">
        <v>17</v>
      </c>
      <c r="I663" s="1753" t="s">
        <v>2330</v>
      </c>
      <c r="J663" t="s">
        <v>17</v>
      </c>
      <c r="K663" t="s">
        <v>3208</v>
      </c>
      <c r="L663" t="s">
        <v>3206</v>
      </c>
      <c r="M663" t="s">
        <v>3207</v>
      </c>
      <c r="N663" t="s">
        <v>393</v>
      </c>
    </row>
    <row r="664" spans="1:14" ht="11.25" customHeight="1">
      <c r="A664" s="1753" t="s">
        <v>2199</v>
      </c>
      <c r="B664" s="1753" t="s">
        <v>14</v>
      </c>
      <c r="C664" s="1753" t="s">
        <v>3432</v>
      </c>
      <c r="D664" s="1753" t="s">
        <v>3433</v>
      </c>
      <c r="E664" s="1753" t="s">
        <v>3434</v>
      </c>
      <c r="F664" s="1753" t="s">
        <v>3435</v>
      </c>
      <c r="G664" s="1753" t="s">
        <v>17</v>
      </c>
      <c r="H664" s="1753" t="s">
        <v>17</v>
      </c>
      <c r="I664" s="1753" t="s">
        <v>2330</v>
      </c>
      <c r="J664" t="s">
        <v>17</v>
      </c>
      <c r="K664" t="s">
        <v>3200</v>
      </c>
      <c r="L664" t="s">
        <v>3206</v>
      </c>
      <c r="M664" t="s">
        <v>3207</v>
      </c>
      <c r="N664" t="s">
        <v>393</v>
      </c>
    </row>
    <row r="665" spans="1:14" ht="11.25" customHeight="1">
      <c r="A665" s="1753" t="s">
        <v>2199</v>
      </c>
      <c r="B665" s="1753" t="s">
        <v>14</v>
      </c>
      <c r="C665" s="1753" t="s">
        <v>3432</v>
      </c>
      <c r="D665" s="1753" t="s">
        <v>3433</v>
      </c>
      <c r="E665" s="1753" t="s">
        <v>3434</v>
      </c>
      <c r="F665" s="1753" t="s">
        <v>3435</v>
      </c>
      <c r="G665" s="1753" t="s">
        <v>17</v>
      </c>
      <c r="H665" s="1753" t="s">
        <v>17</v>
      </c>
      <c r="I665" s="1753" t="s">
        <v>2330</v>
      </c>
      <c r="J665" t="s">
        <v>17</v>
      </c>
      <c r="K665" t="s">
        <v>3208</v>
      </c>
      <c r="L665" t="s">
        <v>3206</v>
      </c>
      <c r="M665" t="s">
        <v>3207</v>
      </c>
      <c r="N665" t="s">
        <v>393</v>
      </c>
    </row>
    <row r="666" spans="1:14" ht="11.25" customHeight="1">
      <c r="A666" s="1753" t="s">
        <v>2199</v>
      </c>
      <c r="B666" s="1753" t="s">
        <v>14</v>
      </c>
      <c r="C666" s="1753" t="s">
        <v>3436</v>
      </c>
      <c r="D666" s="1753" t="s">
        <v>3437</v>
      </c>
      <c r="E666" s="1753" t="s">
        <v>3438</v>
      </c>
      <c r="F666" s="1753" t="s">
        <v>2255</v>
      </c>
      <c r="G666" s="1753" t="s">
        <v>17</v>
      </c>
      <c r="H666" s="1753" t="s">
        <v>17</v>
      </c>
      <c r="I666" s="1753" t="s">
        <v>2246</v>
      </c>
      <c r="J666" t="s">
        <v>17</v>
      </c>
      <c r="K666" t="s">
        <v>3200</v>
      </c>
      <c r="L666" t="s">
        <v>3201</v>
      </c>
      <c r="M666" t="s">
        <v>3202</v>
      </c>
      <c r="N666" t="s">
        <v>393</v>
      </c>
    </row>
    <row r="667" spans="1:14" ht="11.25" customHeight="1">
      <c r="A667" s="1753" t="s">
        <v>2199</v>
      </c>
      <c r="B667" s="1753" t="s">
        <v>14</v>
      </c>
      <c r="C667" s="1753" t="s">
        <v>3439</v>
      </c>
      <c r="D667" s="1753" t="s">
        <v>3440</v>
      </c>
      <c r="E667" s="1753" t="s">
        <v>3441</v>
      </c>
      <c r="F667" s="1753" t="s">
        <v>2705</v>
      </c>
      <c r="G667" s="1753" t="s">
        <v>17</v>
      </c>
      <c r="H667" s="1753" t="s">
        <v>17</v>
      </c>
      <c r="I667" s="1753" t="s">
        <v>2246</v>
      </c>
      <c r="J667" t="s">
        <v>17</v>
      </c>
      <c r="K667" t="s">
        <v>3200</v>
      </c>
      <c r="L667" t="s">
        <v>3295</v>
      </c>
      <c r="M667" t="s">
        <v>3367</v>
      </c>
      <c r="N667" t="s">
        <v>393</v>
      </c>
    </row>
    <row r="668" spans="1:14" ht="11.25" customHeight="1">
      <c r="A668" s="1753" t="s">
        <v>2199</v>
      </c>
      <c r="B668" s="1753" t="s">
        <v>14</v>
      </c>
      <c r="C668" s="1753" t="s">
        <v>3439</v>
      </c>
      <c r="D668" s="1753" t="s">
        <v>3440</v>
      </c>
      <c r="E668" s="1753" t="s">
        <v>3441</v>
      </c>
      <c r="F668" s="1753" t="s">
        <v>2705</v>
      </c>
      <c r="G668" s="1753" t="s">
        <v>17</v>
      </c>
      <c r="H668" s="1753" t="s">
        <v>17</v>
      </c>
      <c r="I668" s="1753" t="s">
        <v>2246</v>
      </c>
      <c r="J668" t="s">
        <v>17</v>
      </c>
      <c r="K668" t="s">
        <v>3208</v>
      </c>
      <c r="L668" t="s">
        <v>3295</v>
      </c>
      <c r="M668" t="s">
        <v>3367</v>
      </c>
      <c r="N668" t="s">
        <v>393</v>
      </c>
    </row>
    <row r="669" spans="1:14" ht="11.25" customHeight="1">
      <c r="A669" s="1753" t="s">
        <v>2199</v>
      </c>
      <c r="B669" s="1753" t="s">
        <v>14</v>
      </c>
      <c r="C669" s="1753" t="s">
        <v>3442</v>
      </c>
      <c r="D669" s="1753" t="s">
        <v>3443</v>
      </c>
      <c r="E669" s="1753" t="s">
        <v>3444</v>
      </c>
      <c r="F669" s="1753" t="s">
        <v>2218</v>
      </c>
      <c r="G669" s="1753" t="s">
        <v>17</v>
      </c>
      <c r="H669" s="1753" t="s">
        <v>17</v>
      </c>
      <c r="I669" s="1753" t="s">
        <v>3445</v>
      </c>
      <c r="J669" t="s">
        <v>17</v>
      </c>
      <c r="K669" t="s">
        <v>3200</v>
      </c>
      <c r="L669" t="s">
        <v>3201</v>
      </c>
      <c r="M669" t="s">
        <v>3202</v>
      </c>
      <c r="N669" t="s">
        <v>393</v>
      </c>
    </row>
    <row r="670" spans="1:14" ht="11.25" customHeight="1">
      <c r="A670" s="1753" t="s">
        <v>2199</v>
      </c>
      <c r="B670" s="1753" t="s">
        <v>14</v>
      </c>
      <c r="C670" s="1753" t="s">
        <v>3446</v>
      </c>
      <c r="D670" s="1753" t="s">
        <v>3447</v>
      </c>
      <c r="E670" s="1753" t="s">
        <v>3448</v>
      </c>
      <c r="F670" s="1753" t="s">
        <v>2259</v>
      </c>
      <c r="G670" s="1753" t="s">
        <v>17</v>
      </c>
      <c r="H670" s="1753" t="s">
        <v>17</v>
      </c>
      <c r="I670" s="1753" t="s">
        <v>2239</v>
      </c>
      <c r="J670" t="s">
        <v>17</v>
      </c>
      <c r="K670" t="s">
        <v>3208</v>
      </c>
      <c r="L670" t="s">
        <v>3287</v>
      </c>
      <c r="M670" t="s">
        <v>3306</v>
      </c>
      <c r="N670" t="s">
        <v>393</v>
      </c>
    </row>
    <row r="671" spans="1:14" ht="11.25" customHeight="1">
      <c r="A671" s="1753" t="s">
        <v>2199</v>
      </c>
      <c r="B671" s="1753" t="s">
        <v>14</v>
      </c>
      <c r="C671" s="1753" t="s">
        <v>3449</v>
      </c>
      <c r="D671" s="1753" t="s">
        <v>3450</v>
      </c>
      <c r="E671" s="1753" t="s">
        <v>3451</v>
      </c>
      <c r="F671" s="1753" t="s">
        <v>2314</v>
      </c>
      <c r="G671" s="1753" t="s">
        <v>17</v>
      </c>
      <c r="H671" s="1753" t="s">
        <v>17</v>
      </c>
      <c r="I671" s="1753" t="s">
        <v>2469</v>
      </c>
      <c r="J671" t="s">
        <v>17</v>
      </c>
      <c r="K671" t="s">
        <v>3200</v>
      </c>
      <c r="L671" t="s">
        <v>3206</v>
      </c>
      <c r="M671" t="s">
        <v>3207</v>
      </c>
      <c r="N671" t="s">
        <v>393</v>
      </c>
    </row>
    <row r="672" spans="1:14" ht="11.25" customHeight="1">
      <c r="A672" s="1753" t="s">
        <v>2199</v>
      </c>
      <c r="B672" s="1753" t="s">
        <v>14</v>
      </c>
      <c r="C672" s="1753" t="s">
        <v>3449</v>
      </c>
      <c r="D672" s="1753" t="s">
        <v>3450</v>
      </c>
      <c r="E672" s="1753" t="s">
        <v>3451</v>
      </c>
      <c r="F672" s="1753" t="s">
        <v>2314</v>
      </c>
      <c r="G672" s="1753" t="s">
        <v>17</v>
      </c>
      <c r="H672" s="1753" t="s">
        <v>17</v>
      </c>
      <c r="I672" s="1753" t="s">
        <v>2469</v>
      </c>
      <c r="J672" t="s">
        <v>17</v>
      </c>
      <c r="K672" t="s">
        <v>3208</v>
      </c>
      <c r="L672" t="s">
        <v>3206</v>
      </c>
      <c r="M672" t="s">
        <v>3207</v>
      </c>
      <c r="N672" t="s">
        <v>393</v>
      </c>
    </row>
    <row r="673" spans="1:14" ht="11.25" customHeight="1">
      <c r="A673" s="1753" t="s">
        <v>2199</v>
      </c>
      <c r="B673" s="1753" t="s">
        <v>14</v>
      </c>
      <c r="C673" s="1753" t="s">
        <v>3452</v>
      </c>
      <c r="D673" s="1753" t="s">
        <v>3450</v>
      </c>
      <c r="E673" s="1753" t="s">
        <v>3453</v>
      </c>
      <c r="F673" s="1753" t="s">
        <v>2203</v>
      </c>
      <c r="G673" s="1753" t="s">
        <v>17</v>
      </c>
      <c r="H673" s="1753" t="s">
        <v>17</v>
      </c>
      <c r="I673" s="1753" t="s">
        <v>3454</v>
      </c>
      <c r="J673" t="s">
        <v>17</v>
      </c>
      <c r="K673" t="s">
        <v>3200</v>
      </c>
      <c r="L673" t="s">
        <v>3206</v>
      </c>
      <c r="M673" t="s">
        <v>3207</v>
      </c>
      <c r="N673" t="s">
        <v>393</v>
      </c>
    </row>
    <row r="674" spans="1:14" ht="11.25" customHeight="1">
      <c r="A674" s="1753" t="s">
        <v>2199</v>
      </c>
      <c r="B674" s="1753" t="s">
        <v>14</v>
      </c>
      <c r="C674" s="1753" t="s">
        <v>3452</v>
      </c>
      <c r="D674" s="1753" t="s">
        <v>3450</v>
      </c>
      <c r="E674" s="1753" t="s">
        <v>3453</v>
      </c>
      <c r="F674" s="1753" t="s">
        <v>2203</v>
      </c>
      <c r="G674" s="1753" t="s">
        <v>17</v>
      </c>
      <c r="H674" s="1753" t="s">
        <v>17</v>
      </c>
      <c r="I674" s="1753" t="s">
        <v>3454</v>
      </c>
      <c r="J674" t="s">
        <v>17</v>
      </c>
      <c r="K674" t="s">
        <v>3208</v>
      </c>
      <c r="L674" t="s">
        <v>3206</v>
      </c>
      <c r="M674" t="s">
        <v>3207</v>
      </c>
      <c r="N674" t="s">
        <v>393</v>
      </c>
    </row>
    <row r="675" spans="1:14" ht="11.25" customHeight="1">
      <c r="A675" s="1753" t="s">
        <v>2199</v>
      </c>
      <c r="B675" s="1753" t="s">
        <v>14</v>
      </c>
      <c r="C675" s="1753" t="s">
        <v>2854</v>
      </c>
      <c r="D675" s="1753" t="s">
        <v>2855</v>
      </c>
      <c r="E675" s="1753" t="s">
        <v>2856</v>
      </c>
      <c r="F675" s="1753" t="s">
        <v>2432</v>
      </c>
      <c r="G675" s="1753" t="s">
        <v>17</v>
      </c>
      <c r="H675" s="1753" t="s">
        <v>17</v>
      </c>
      <c r="I675" s="1753" t="s">
        <v>2326</v>
      </c>
      <c r="J675" t="s">
        <v>17</v>
      </c>
      <c r="K675" t="s">
        <v>3200</v>
      </c>
      <c r="L675" t="s">
        <v>3295</v>
      </c>
      <c r="M675" t="s">
        <v>3367</v>
      </c>
      <c r="N675" t="s">
        <v>393</v>
      </c>
    </row>
    <row r="676" spans="1:14" ht="11.25" customHeight="1">
      <c r="A676" s="1753" t="s">
        <v>2199</v>
      </c>
      <c r="B676" s="1753" t="s">
        <v>14</v>
      </c>
      <c r="C676" s="1753" t="s">
        <v>2854</v>
      </c>
      <c r="D676" s="1753" t="s">
        <v>2855</v>
      </c>
      <c r="E676" s="1753" t="s">
        <v>2856</v>
      </c>
      <c r="F676" s="1753" t="s">
        <v>2432</v>
      </c>
      <c r="G676" s="1753" t="s">
        <v>17</v>
      </c>
      <c r="H676" s="1753" t="s">
        <v>17</v>
      </c>
      <c r="I676" s="1753" t="s">
        <v>2326</v>
      </c>
      <c r="J676" t="s">
        <v>17</v>
      </c>
      <c r="K676" t="s">
        <v>3208</v>
      </c>
      <c r="L676" t="s">
        <v>3295</v>
      </c>
      <c r="M676" t="s">
        <v>3367</v>
      </c>
      <c r="N676" t="s">
        <v>393</v>
      </c>
    </row>
    <row r="677" spans="1:14" ht="11.25" customHeight="1">
      <c r="A677" s="1753" t="s">
        <v>2199</v>
      </c>
      <c r="B677" s="1753" t="s">
        <v>14</v>
      </c>
      <c r="C677" s="1753" t="s">
        <v>2854</v>
      </c>
      <c r="D677" s="1753" t="s">
        <v>2855</v>
      </c>
      <c r="E677" s="1753" t="s">
        <v>2856</v>
      </c>
      <c r="F677" s="1753" t="s">
        <v>2432</v>
      </c>
      <c r="G677" s="1753" t="s">
        <v>17</v>
      </c>
      <c r="H677" s="1753" t="s">
        <v>17</v>
      </c>
      <c r="I677" s="1753" t="s">
        <v>2239</v>
      </c>
      <c r="J677" t="s">
        <v>17</v>
      </c>
      <c r="K677" t="s">
        <v>3200</v>
      </c>
      <c r="L677" t="s">
        <v>3287</v>
      </c>
      <c r="M677" t="s">
        <v>3288</v>
      </c>
      <c r="N677" t="s">
        <v>393</v>
      </c>
    </row>
    <row r="678" spans="1:14" ht="11.25" customHeight="1">
      <c r="A678" s="1753" t="s">
        <v>2199</v>
      </c>
      <c r="B678" s="1753" t="s">
        <v>14</v>
      </c>
      <c r="C678" s="1753" t="s">
        <v>3455</v>
      </c>
      <c r="D678" s="1753" t="s">
        <v>3456</v>
      </c>
      <c r="E678" s="1753" t="s">
        <v>3457</v>
      </c>
      <c r="F678" s="1753" t="s">
        <v>2556</v>
      </c>
      <c r="G678" s="1753" t="s">
        <v>17</v>
      </c>
      <c r="H678" s="1753" t="s">
        <v>17</v>
      </c>
      <c r="I678" s="1753" t="s">
        <v>2492</v>
      </c>
      <c r="J678" t="s">
        <v>17</v>
      </c>
      <c r="K678" t="s">
        <v>3200</v>
      </c>
      <c r="L678" t="s">
        <v>3206</v>
      </c>
      <c r="M678" t="s">
        <v>3207</v>
      </c>
      <c r="N678" t="s">
        <v>393</v>
      </c>
    </row>
    <row r="679" spans="1:14" ht="11.25" customHeight="1">
      <c r="A679" s="1753" t="s">
        <v>2199</v>
      </c>
      <c r="B679" s="1753" t="s">
        <v>14</v>
      </c>
      <c r="C679" s="1753" t="s">
        <v>3455</v>
      </c>
      <c r="D679" s="1753" t="s">
        <v>3456</v>
      </c>
      <c r="E679" s="1753" t="s">
        <v>3457</v>
      </c>
      <c r="F679" s="1753" t="s">
        <v>2556</v>
      </c>
      <c r="G679" s="1753" t="s">
        <v>17</v>
      </c>
      <c r="H679" s="1753" t="s">
        <v>17</v>
      </c>
      <c r="I679" s="1753" t="s">
        <v>2492</v>
      </c>
      <c r="J679" t="s">
        <v>17</v>
      </c>
      <c r="K679" t="s">
        <v>3208</v>
      </c>
      <c r="L679" t="s">
        <v>3206</v>
      </c>
      <c r="M679" t="s">
        <v>3207</v>
      </c>
      <c r="N679" t="s">
        <v>393</v>
      </c>
    </row>
    <row r="680" spans="1:14" ht="11.25" customHeight="1">
      <c r="A680" s="1753" t="s">
        <v>2199</v>
      </c>
      <c r="B680" s="1753" t="s">
        <v>14</v>
      </c>
      <c r="C680" s="1753" t="s">
        <v>3458</v>
      </c>
      <c r="D680" s="1753" t="s">
        <v>3459</v>
      </c>
      <c r="E680" s="1753" t="s">
        <v>3460</v>
      </c>
      <c r="F680" s="1753" t="s">
        <v>2539</v>
      </c>
      <c r="G680" s="1753" t="s">
        <v>17</v>
      </c>
      <c r="H680" s="1753" t="s">
        <v>17</v>
      </c>
      <c r="I680" s="1753" t="s">
        <v>2330</v>
      </c>
      <c r="J680" t="s">
        <v>17</v>
      </c>
      <c r="K680" t="s">
        <v>3200</v>
      </c>
      <c r="L680" t="s">
        <v>3206</v>
      </c>
      <c r="M680" t="s">
        <v>3207</v>
      </c>
      <c r="N680" t="s">
        <v>393</v>
      </c>
    </row>
    <row r="681" spans="1:14" ht="11.25" customHeight="1">
      <c r="A681" s="1753" t="s">
        <v>2199</v>
      </c>
      <c r="B681" s="1753" t="s">
        <v>14</v>
      </c>
      <c r="C681" s="1753" t="s">
        <v>3458</v>
      </c>
      <c r="D681" s="1753" t="s">
        <v>3459</v>
      </c>
      <c r="E681" s="1753" t="s">
        <v>3460</v>
      </c>
      <c r="F681" s="1753" t="s">
        <v>2539</v>
      </c>
      <c r="G681" s="1753" t="s">
        <v>17</v>
      </c>
      <c r="H681" s="1753" t="s">
        <v>17</v>
      </c>
      <c r="I681" s="1753" t="s">
        <v>2330</v>
      </c>
      <c r="J681" t="s">
        <v>17</v>
      </c>
      <c r="K681" t="s">
        <v>3208</v>
      </c>
      <c r="L681" t="s">
        <v>3206</v>
      </c>
      <c r="M681" t="s">
        <v>3207</v>
      </c>
      <c r="N681" t="s">
        <v>393</v>
      </c>
    </row>
    <row r="682" spans="1:14" ht="11.25" customHeight="1">
      <c r="A682" s="1753" t="s">
        <v>2199</v>
      </c>
      <c r="B682" s="1753" t="s">
        <v>14</v>
      </c>
      <c r="C682" s="1753" t="s">
        <v>3461</v>
      </c>
      <c r="D682" s="1753" t="s">
        <v>3462</v>
      </c>
      <c r="E682" s="1753" t="s">
        <v>3463</v>
      </c>
      <c r="F682" s="1753" t="s">
        <v>2474</v>
      </c>
      <c r="G682" s="1753" t="s">
        <v>17</v>
      </c>
      <c r="H682" s="1753" t="s">
        <v>17</v>
      </c>
      <c r="I682" s="1753" t="s">
        <v>2330</v>
      </c>
      <c r="J682" t="s">
        <v>17</v>
      </c>
      <c r="K682" t="s">
        <v>3208</v>
      </c>
      <c r="L682" t="s">
        <v>3287</v>
      </c>
      <c r="M682" t="s">
        <v>3306</v>
      </c>
      <c r="N682" t="s">
        <v>393</v>
      </c>
    </row>
    <row r="683" spans="1:14" ht="11.25" customHeight="1">
      <c r="A683" s="1753" t="s">
        <v>2199</v>
      </c>
      <c r="B683" s="1753" t="s">
        <v>14</v>
      </c>
      <c r="C683" s="1753" t="s">
        <v>2923</v>
      </c>
      <c r="D683" s="1753" t="s">
        <v>2924</v>
      </c>
      <c r="E683" s="1753" t="s">
        <v>2925</v>
      </c>
      <c r="F683" s="1753" t="s">
        <v>2926</v>
      </c>
      <c r="G683" s="1753" t="s">
        <v>17</v>
      </c>
      <c r="H683" s="1753" t="s">
        <v>17</v>
      </c>
      <c r="I683" s="1753" t="s">
        <v>2927</v>
      </c>
      <c r="J683" t="s">
        <v>17</v>
      </c>
      <c r="K683" t="s">
        <v>3200</v>
      </c>
      <c r="L683" t="s">
        <v>3464</v>
      </c>
      <c r="M683" t="s">
        <v>3465</v>
      </c>
      <c r="N683" t="s">
        <v>393</v>
      </c>
    </row>
    <row r="684" spans="1:14" ht="11.25" customHeight="1">
      <c r="A684" s="1753" t="s">
        <v>2199</v>
      </c>
      <c r="B684" s="1753" t="s">
        <v>14</v>
      </c>
      <c r="C684" s="1753" t="s">
        <v>2923</v>
      </c>
      <c r="D684" s="1753" t="s">
        <v>2924</v>
      </c>
      <c r="E684" s="1753" t="s">
        <v>2925</v>
      </c>
      <c r="F684" s="1753" t="s">
        <v>2926</v>
      </c>
      <c r="G684" s="1753" t="s">
        <v>17</v>
      </c>
      <c r="H684" s="1753" t="s">
        <v>17</v>
      </c>
      <c r="I684" s="1753" t="s">
        <v>2927</v>
      </c>
      <c r="J684" t="s">
        <v>17</v>
      </c>
      <c r="K684" t="s">
        <v>3208</v>
      </c>
      <c r="L684" t="s">
        <v>3464</v>
      </c>
      <c r="M684" t="s">
        <v>3465</v>
      </c>
      <c r="N684" t="s">
        <v>393</v>
      </c>
    </row>
    <row r="685" spans="1:14" ht="11.25" customHeight="1">
      <c r="A685" s="1753" t="s">
        <v>2199</v>
      </c>
      <c r="B685" s="1753" t="s">
        <v>14</v>
      </c>
      <c r="C685" s="1753" t="s">
        <v>3466</v>
      </c>
      <c r="D685" s="1753" t="s">
        <v>3467</v>
      </c>
      <c r="E685" s="1753" t="s">
        <v>3468</v>
      </c>
      <c r="F685" s="1753" t="s">
        <v>2223</v>
      </c>
      <c r="G685" s="1753" t="s">
        <v>17</v>
      </c>
      <c r="H685" s="1753" t="s">
        <v>17</v>
      </c>
      <c r="I685" s="1753" t="s">
        <v>2330</v>
      </c>
      <c r="J685" t="s">
        <v>17</v>
      </c>
      <c r="K685" t="s">
        <v>3200</v>
      </c>
      <c r="L685" t="s">
        <v>3295</v>
      </c>
      <c r="M685" t="s">
        <v>3296</v>
      </c>
      <c r="N685" t="s">
        <v>393</v>
      </c>
    </row>
    <row r="686" spans="1:14" ht="11.25" customHeight="1">
      <c r="A686" s="1753" t="s">
        <v>2199</v>
      </c>
      <c r="B686" s="1753" t="s">
        <v>14</v>
      </c>
      <c r="C686" s="1753" t="s">
        <v>3469</v>
      </c>
      <c r="D686" s="1753" t="s">
        <v>3470</v>
      </c>
      <c r="E686" s="1753" t="s">
        <v>3471</v>
      </c>
      <c r="F686" s="1753" t="s">
        <v>2259</v>
      </c>
      <c r="G686" s="1753" t="s">
        <v>3472</v>
      </c>
      <c r="H686" s="1753" t="s">
        <v>17</v>
      </c>
      <c r="I686" s="1753" t="s">
        <v>2330</v>
      </c>
      <c r="J686" t="s">
        <v>17</v>
      </c>
      <c r="K686" t="s">
        <v>3200</v>
      </c>
      <c r="L686" t="s">
        <v>3413</v>
      </c>
      <c r="M686" t="s">
        <v>3414</v>
      </c>
      <c r="N686" t="s">
        <v>393</v>
      </c>
    </row>
    <row r="687" spans="1:14" ht="11.25" customHeight="1">
      <c r="A687" s="1753" t="s">
        <v>2199</v>
      </c>
      <c r="B687" s="1753" t="s">
        <v>14</v>
      </c>
      <c r="C687" s="1753" t="s">
        <v>3469</v>
      </c>
      <c r="D687" s="1753" t="s">
        <v>3470</v>
      </c>
      <c r="E687" s="1753" t="s">
        <v>3471</v>
      </c>
      <c r="F687" s="1753" t="s">
        <v>2259</v>
      </c>
      <c r="G687" s="1753" t="s">
        <v>3472</v>
      </c>
      <c r="H687" s="1753" t="s">
        <v>17</v>
      </c>
      <c r="I687" s="1753" t="s">
        <v>2330</v>
      </c>
      <c r="J687" t="s">
        <v>17</v>
      </c>
      <c r="K687" t="s">
        <v>3208</v>
      </c>
      <c r="L687" t="s">
        <v>3413</v>
      </c>
      <c r="M687" t="s">
        <v>3414</v>
      </c>
      <c r="N687" t="s">
        <v>393</v>
      </c>
    </row>
    <row r="688" spans="1:14" ht="11.25" customHeight="1">
      <c r="A688" s="1753" t="s">
        <v>2199</v>
      </c>
      <c r="B688" s="1753" t="s">
        <v>14</v>
      </c>
      <c r="C688" s="1753" t="s">
        <v>3473</v>
      </c>
      <c r="D688" s="1753" t="s">
        <v>3474</v>
      </c>
      <c r="E688" s="1753" t="s">
        <v>3475</v>
      </c>
      <c r="F688" s="1753" t="s">
        <v>2259</v>
      </c>
      <c r="G688" s="1753" t="s">
        <v>17</v>
      </c>
      <c r="H688" s="1753" t="s">
        <v>17</v>
      </c>
      <c r="I688" s="1753" t="s">
        <v>2330</v>
      </c>
      <c r="J688" t="s">
        <v>17</v>
      </c>
      <c r="K688" t="s">
        <v>3200</v>
      </c>
      <c r="L688" t="s">
        <v>3206</v>
      </c>
      <c r="M688" t="s">
        <v>3207</v>
      </c>
      <c r="N688" t="s">
        <v>393</v>
      </c>
    </row>
    <row r="689" spans="1:14" ht="11.25" customHeight="1">
      <c r="A689" s="1753" t="s">
        <v>2199</v>
      </c>
      <c r="B689" s="1753" t="s">
        <v>14</v>
      </c>
      <c r="C689" s="1753" t="s">
        <v>3473</v>
      </c>
      <c r="D689" s="1753" t="s">
        <v>3474</v>
      </c>
      <c r="E689" s="1753" t="s">
        <v>3475</v>
      </c>
      <c r="F689" s="1753" t="s">
        <v>2259</v>
      </c>
      <c r="G689" s="1753" t="s">
        <v>17</v>
      </c>
      <c r="H689" s="1753" t="s">
        <v>17</v>
      </c>
      <c r="I689" s="1753" t="s">
        <v>2330</v>
      </c>
      <c r="J689" t="s">
        <v>17</v>
      </c>
      <c r="K689" t="s">
        <v>3208</v>
      </c>
      <c r="L689" t="s">
        <v>3206</v>
      </c>
      <c r="M689" t="s">
        <v>3207</v>
      </c>
      <c r="N689" t="s">
        <v>393</v>
      </c>
    </row>
    <row r="690" spans="1:14" ht="11.25" customHeight="1">
      <c r="A690" s="1753" t="s">
        <v>2199</v>
      </c>
      <c r="B690" s="1753" t="s">
        <v>14</v>
      </c>
      <c r="C690" s="1753" t="s">
        <v>3476</v>
      </c>
      <c r="D690" s="1753" t="s">
        <v>3477</v>
      </c>
      <c r="E690" s="1753" t="s">
        <v>3478</v>
      </c>
      <c r="F690" s="1753" t="s">
        <v>2632</v>
      </c>
      <c r="G690" s="1753" t="s">
        <v>3479</v>
      </c>
      <c r="H690" s="1753" t="s">
        <v>17</v>
      </c>
      <c r="I690" s="1753" t="s">
        <v>2330</v>
      </c>
      <c r="J690" t="s">
        <v>17</v>
      </c>
      <c r="K690" t="s">
        <v>3200</v>
      </c>
      <c r="L690" t="s">
        <v>3206</v>
      </c>
      <c r="M690" t="s">
        <v>3207</v>
      </c>
      <c r="N690" t="s">
        <v>393</v>
      </c>
    </row>
    <row r="691" spans="1:14" ht="11.25" customHeight="1">
      <c r="A691" s="1753" t="s">
        <v>2199</v>
      </c>
      <c r="B691" s="1753" t="s">
        <v>14</v>
      </c>
      <c r="C691" s="1753" t="s">
        <v>3476</v>
      </c>
      <c r="D691" s="1753" t="s">
        <v>3477</v>
      </c>
      <c r="E691" s="1753" t="s">
        <v>3478</v>
      </c>
      <c r="F691" s="1753" t="s">
        <v>2632</v>
      </c>
      <c r="G691" s="1753" t="s">
        <v>3479</v>
      </c>
      <c r="H691" s="1753" t="s">
        <v>17</v>
      </c>
      <c r="I691" s="1753" t="s">
        <v>2330</v>
      </c>
      <c r="J691" t="s">
        <v>17</v>
      </c>
      <c r="K691" t="s">
        <v>3208</v>
      </c>
      <c r="L691" t="s">
        <v>3206</v>
      </c>
      <c r="M691" t="s">
        <v>3207</v>
      </c>
      <c r="N691" t="s">
        <v>393</v>
      </c>
    </row>
    <row r="692" spans="1:14" ht="11.25" customHeight="1">
      <c r="A692" s="1753" t="s">
        <v>2199</v>
      </c>
      <c r="B692" s="1753" t="s">
        <v>14</v>
      </c>
      <c r="C692" s="1753" t="s">
        <v>3480</v>
      </c>
      <c r="D692" s="1753" t="s">
        <v>3481</v>
      </c>
      <c r="E692" s="1753" t="s">
        <v>3482</v>
      </c>
      <c r="F692" s="1753" t="s">
        <v>2255</v>
      </c>
      <c r="G692" s="1753" t="s">
        <v>17</v>
      </c>
      <c r="H692" s="1753" t="s">
        <v>17</v>
      </c>
      <c r="I692" s="1753" t="s">
        <v>2246</v>
      </c>
      <c r="J692" t="s">
        <v>17</v>
      </c>
      <c r="K692" t="s">
        <v>3200</v>
      </c>
      <c r="L692" t="s">
        <v>3206</v>
      </c>
      <c r="M692" t="s">
        <v>3207</v>
      </c>
      <c r="N692" t="s">
        <v>393</v>
      </c>
    </row>
    <row r="693" spans="1:14" ht="11.25" customHeight="1">
      <c r="A693" s="1753" t="s">
        <v>2199</v>
      </c>
      <c r="B693" s="1753" t="s">
        <v>14</v>
      </c>
      <c r="C693" s="1753" t="s">
        <v>3480</v>
      </c>
      <c r="D693" s="1753" t="s">
        <v>3481</v>
      </c>
      <c r="E693" s="1753" t="s">
        <v>3482</v>
      </c>
      <c r="F693" s="1753" t="s">
        <v>2255</v>
      </c>
      <c r="G693" s="1753" t="s">
        <v>17</v>
      </c>
      <c r="H693" s="1753" t="s">
        <v>17</v>
      </c>
      <c r="I693" s="1753" t="s">
        <v>2246</v>
      </c>
      <c r="J693" t="s">
        <v>17</v>
      </c>
      <c r="K693" t="s">
        <v>3208</v>
      </c>
      <c r="L693" t="s">
        <v>3206</v>
      </c>
      <c r="M693" t="s">
        <v>3207</v>
      </c>
      <c r="N693" t="s">
        <v>393</v>
      </c>
    </row>
    <row r="694" spans="1:14" ht="11.25" customHeight="1">
      <c r="A694" s="1753" t="s">
        <v>2199</v>
      </c>
      <c r="B694" s="1753" t="s">
        <v>14</v>
      </c>
      <c r="C694" s="1753" t="s">
        <v>2960</v>
      </c>
      <c r="D694" s="1753" t="s">
        <v>2961</v>
      </c>
      <c r="E694" s="1753" t="s">
        <v>2962</v>
      </c>
      <c r="F694" s="1753" t="s">
        <v>2539</v>
      </c>
      <c r="G694" s="1753" t="s">
        <v>2963</v>
      </c>
      <c r="H694" s="1753" t="s">
        <v>17</v>
      </c>
      <c r="I694" s="1753" t="s">
        <v>2330</v>
      </c>
      <c r="J694" t="s">
        <v>17</v>
      </c>
      <c r="K694" t="s">
        <v>3200</v>
      </c>
      <c r="L694" t="s">
        <v>3206</v>
      </c>
      <c r="M694" t="s">
        <v>3207</v>
      </c>
      <c r="N694" t="s">
        <v>393</v>
      </c>
    </row>
    <row r="695" spans="1:14" ht="11.25" customHeight="1">
      <c r="A695" s="1753" t="s">
        <v>2199</v>
      </c>
      <c r="B695" s="1753" t="s">
        <v>14</v>
      </c>
      <c r="C695" s="1753" t="s">
        <v>2960</v>
      </c>
      <c r="D695" s="1753" t="s">
        <v>2961</v>
      </c>
      <c r="E695" s="1753" t="s">
        <v>2962</v>
      </c>
      <c r="F695" s="1753" t="s">
        <v>2539</v>
      </c>
      <c r="G695" s="1753" t="s">
        <v>2963</v>
      </c>
      <c r="H695" s="1753" t="s">
        <v>17</v>
      </c>
      <c r="I695" s="1753" t="s">
        <v>2330</v>
      </c>
      <c r="J695" t="s">
        <v>17</v>
      </c>
      <c r="K695" t="s">
        <v>3208</v>
      </c>
      <c r="L695" t="s">
        <v>3206</v>
      </c>
      <c r="M695" t="s">
        <v>3207</v>
      </c>
      <c r="N695" t="s">
        <v>393</v>
      </c>
    </row>
    <row r="696" spans="1:14" ht="11.25" customHeight="1">
      <c r="A696" s="1753" t="s">
        <v>2199</v>
      </c>
      <c r="B696" s="1753" t="s">
        <v>14</v>
      </c>
      <c r="C696" s="1753" t="s">
        <v>2973</v>
      </c>
      <c r="D696" s="1753" t="s">
        <v>2974</v>
      </c>
      <c r="E696" s="1753" t="s">
        <v>2975</v>
      </c>
      <c r="F696" s="1753" t="s">
        <v>2380</v>
      </c>
      <c r="G696" s="1753" t="s">
        <v>17</v>
      </c>
      <c r="H696" s="1753" t="s">
        <v>17</v>
      </c>
      <c r="I696" s="1753" t="s">
        <v>2976</v>
      </c>
      <c r="J696" t="s">
        <v>17</v>
      </c>
      <c r="K696" t="s">
        <v>3200</v>
      </c>
      <c r="L696" t="s">
        <v>3206</v>
      </c>
      <c r="M696" t="s">
        <v>3207</v>
      </c>
      <c r="N696" t="s">
        <v>393</v>
      </c>
    </row>
    <row r="697" spans="1:14" ht="11.25" customHeight="1">
      <c r="A697" s="1753" t="s">
        <v>2199</v>
      </c>
      <c r="B697" s="1753" t="s">
        <v>14</v>
      </c>
      <c r="C697" s="1753" t="s">
        <v>2973</v>
      </c>
      <c r="D697" s="1753" t="s">
        <v>2974</v>
      </c>
      <c r="E697" s="1753" t="s">
        <v>2975</v>
      </c>
      <c r="F697" s="1753" t="s">
        <v>2380</v>
      </c>
      <c r="G697" s="1753" t="s">
        <v>17</v>
      </c>
      <c r="H697" s="1753" t="s">
        <v>17</v>
      </c>
      <c r="I697" s="1753" t="s">
        <v>2976</v>
      </c>
      <c r="J697" t="s">
        <v>17</v>
      </c>
      <c r="K697" t="s">
        <v>3208</v>
      </c>
      <c r="L697" t="s">
        <v>3206</v>
      </c>
      <c r="M697" t="s">
        <v>3207</v>
      </c>
      <c r="N697" t="s">
        <v>393</v>
      </c>
    </row>
    <row r="698" spans="1:14" ht="11.25" customHeight="1">
      <c r="A698" s="1753" t="s">
        <v>2199</v>
      </c>
      <c r="B698" s="1753" t="s">
        <v>14</v>
      </c>
      <c r="C698" s="1753" t="s">
        <v>3483</v>
      </c>
      <c r="D698" s="1753" t="s">
        <v>3484</v>
      </c>
      <c r="E698" s="1753" t="s">
        <v>3485</v>
      </c>
      <c r="F698" s="1753" t="s">
        <v>2259</v>
      </c>
      <c r="G698" s="1753" t="s">
        <v>17</v>
      </c>
      <c r="H698" s="1753" t="s">
        <v>17</v>
      </c>
      <c r="I698" s="1753" t="s">
        <v>3486</v>
      </c>
      <c r="J698" t="s">
        <v>17</v>
      </c>
      <c r="K698" t="s">
        <v>3208</v>
      </c>
      <c r="L698" t="s">
        <v>3221</v>
      </c>
      <c r="M698" t="s">
        <v>3487</v>
      </c>
      <c r="N698" t="s">
        <v>393</v>
      </c>
    </row>
    <row r="699" spans="1:14" ht="11.25" customHeight="1">
      <c r="A699" s="1753" t="s">
        <v>2199</v>
      </c>
      <c r="B699" s="1753" t="s">
        <v>14</v>
      </c>
      <c r="C699" s="1753" t="s">
        <v>3488</v>
      </c>
      <c r="D699" s="1753" t="s">
        <v>3489</v>
      </c>
      <c r="E699" s="1753" t="s">
        <v>3490</v>
      </c>
      <c r="F699" s="1753" t="s">
        <v>2424</v>
      </c>
      <c r="G699" s="1753" t="s">
        <v>17</v>
      </c>
      <c r="H699" s="1753" t="s">
        <v>17</v>
      </c>
      <c r="I699" s="1753" t="s">
        <v>2330</v>
      </c>
      <c r="J699" t="s">
        <v>17</v>
      </c>
      <c r="K699" t="s">
        <v>3200</v>
      </c>
      <c r="L699" t="s">
        <v>3206</v>
      </c>
      <c r="M699" t="s">
        <v>3207</v>
      </c>
      <c r="N699" t="s">
        <v>393</v>
      </c>
    </row>
    <row r="700" spans="1:14" ht="11.25" customHeight="1">
      <c r="A700" s="1753" t="s">
        <v>2199</v>
      </c>
      <c r="B700" s="1753" t="s">
        <v>14</v>
      </c>
      <c r="C700" s="1753" t="s">
        <v>3488</v>
      </c>
      <c r="D700" s="1753" t="s">
        <v>3489</v>
      </c>
      <c r="E700" s="1753" t="s">
        <v>3490</v>
      </c>
      <c r="F700" s="1753" t="s">
        <v>2424</v>
      </c>
      <c r="G700" s="1753" t="s">
        <v>17</v>
      </c>
      <c r="H700" s="1753" t="s">
        <v>17</v>
      </c>
      <c r="I700" s="1753" t="s">
        <v>2330</v>
      </c>
      <c r="J700" t="s">
        <v>17</v>
      </c>
      <c r="K700" t="s">
        <v>3208</v>
      </c>
      <c r="L700" t="s">
        <v>3206</v>
      </c>
      <c r="M700" t="s">
        <v>3207</v>
      </c>
      <c r="N700" t="s">
        <v>393</v>
      </c>
    </row>
    <row r="701" spans="1:14" ht="11.25" customHeight="1">
      <c r="A701" s="1753" t="s">
        <v>2199</v>
      </c>
      <c r="B701" s="1753" t="s">
        <v>14</v>
      </c>
      <c r="C701" s="1753" t="s">
        <v>3491</v>
      </c>
      <c r="D701" s="1753" t="s">
        <v>3492</v>
      </c>
      <c r="E701" s="1753" t="s">
        <v>3493</v>
      </c>
      <c r="F701" s="1753" t="s">
        <v>2259</v>
      </c>
      <c r="G701" s="1753" t="s">
        <v>17</v>
      </c>
      <c r="H701" s="1753" t="s">
        <v>17</v>
      </c>
      <c r="I701" s="1753" t="s">
        <v>3494</v>
      </c>
      <c r="J701" t="s">
        <v>17</v>
      </c>
      <c r="K701" t="s">
        <v>3200</v>
      </c>
      <c r="L701" t="s">
        <v>3495</v>
      </c>
      <c r="M701" t="s">
        <v>3496</v>
      </c>
      <c r="N701" t="s">
        <v>393</v>
      </c>
    </row>
    <row r="702" spans="1:14" ht="11.25" customHeight="1">
      <c r="A702" s="1753" t="s">
        <v>2199</v>
      </c>
      <c r="B702" s="1753" t="s">
        <v>14</v>
      </c>
      <c r="C702" s="1753" t="s">
        <v>3491</v>
      </c>
      <c r="D702" s="1753" t="s">
        <v>3492</v>
      </c>
      <c r="E702" s="1753" t="s">
        <v>3493</v>
      </c>
      <c r="F702" s="1753" t="s">
        <v>2259</v>
      </c>
      <c r="G702" s="1753" t="s">
        <v>17</v>
      </c>
      <c r="H702" s="1753" t="s">
        <v>17</v>
      </c>
      <c r="I702" s="1753" t="s">
        <v>3494</v>
      </c>
      <c r="J702" t="s">
        <v>17</v>
      </c>
      <c r="K702" t="s">
        <v>3208</v>
      </c>
      <c r="L702" t="s">
        <v>3495</v>
      </c>
      <c r="M702" t="s">
        <v>3496</v>
      </c>
      <c r="N702" t="s">
        <v>393</v>
      </c>
    </row>
    <row r="703" spans="1:14" ht="11.25" customHeight="1">
      <c r="A703" s="1753" t="s">
        <v>2199</v>
      </c>
      <c r="B703" s="1753" t="s">
        <v>14</v>
      </c>
      <c r="C703" s="1753" t="s">
        <v>3497</v>
      </c>
      <c r="D703" s="1753" t="s">
        <v>3498</v>
      </c>
      <c r="E703" s="1753" t="s">
        <v>3499</v>
      </c>
      <c r="F703" s="1753" t="s">
        <v>2732</v>
      </c>
      <c r="G703" s="1753" t="s">
        <v>17</v>
      </c>
      <c r="H703" s="1753" t="s">
        <v>17</v>
      </c>
      <c r="I703" s="1753" t="s">
        <v>2330</v>
      </c>
      <c r="J703" t="s">
        <v>17</v>
      </c>
      <c r="K703" t="s">
        <v>3200</v>
      </c>
      <c r="L703" t="s">
        <v>3413</v>
      </c>
      <c r="M703" t="s">
        <v>3414</v>
      </c>
      <c r="N703" t="s">
        <v>393</v>
      </c>
    </row>
    <row r="704" spans="1:14" ht="11.25" customHeight="1">
      <c r="A704" s="1753" t="s">
        <v>2199</v>
      </c>
      <c r="B704" s="1753" t="s">
        <v>14</v>
      </c>
      <c r="C704" s="1753" t="s">
        <v>3497</v>
      </c>
      <c r="D704" s="1753" t="s">
        <v>3498</v>
      </c>
      <c r="E704" s="1753" t="s">
        <v>3499</v>
      </c>
      <c r="F704" s="1753" t="s">
        <v>2732</v>
      </c>
      <c r="G704" s="1753" t="s">
        <v>17</v>
      </c>
      <c r="H704" s="1753" t="s">
        <v>17</v>
      </c>
      <c r="I704" s="1753" t="s">
        <v>2330</v>
      </c>
      <c r="J704" t="s">
        <v>17</v>
      </c>
      <c r="K704" t="s">
        <v>3208</v>
      </c>
      <c r="L704" t="s">
        <v>3413</v>
      </c>
      <c r="M704" t="s">
        <v>3414</v>
      </c>
      <c r="N704" t="s">
        <v>393</v>
      </c>
    </row>
    <row r="705" spans="1:14" ht="11.25" customHeight="1">
      <c r="A705" s="1753" t="s">
        <v>2199</v>
      </c>
      <c r="B705" s="1753" t="s">
        <v>14</v>
      </c>
      <c r="C705" s="1753" t="s">
        <v>3500</v>
      </c>
      <c r="D705" s="1753" t="s">
        <v>3501</v>
      </c>
      <c r="E705" s="1753" t="s">
        <v>3502</v>
      </c>
      <c r="F705" s="1753" t="s">
        <v>3503</v>
      </c>
      <c r="G705" s="1753" t="s">
        <v>17</v>
      </c>
      <c r="H705" s="1753" t="s">
        <v>17</v>
      </c>
      <c r="I705" s="1753" t="s">
        <v>2330</v>
      </c>
      <c r="J705" t="s">
        <v>17</v>
      </c>
      <c r="K705" t="s">
        <v>3200</v>
      </c>
      <c r="L705" t="s">
        <v>3368</v>
      </c>
      <c r="M705" t="s">
        <v>3369</v>
      </c>
      <c r="N705" t="s">
        <v>393</v>
      </c>
    </row>
    <row r="706" spans="1:14" ht="11.25" customHeight="1">
      <c r="A706" s="1753" t="s">
        <v>2199</v>
      </c>
      <c r="B706" s="1753" t="s">
        <v>14</v>
      </c>
      <c r="C706" s="1753" t="s">
        <v>3500</v>
      </c>
      <c r="D706" s="1753" t="s">
        <v>3501</v>
      </c>
      <c r="E706" s="1753" t="s">
        <v>3502</v>
      </c>
      <c r="F706" s="1753" t="s">
        <v>3503</v>
      </c>
      <c r="G706" s="1753" t="s">
        <v>17</v>
      </c>
      <c r="H706" s="1753" t="s">
        <v>17</v>
      </c>
      <c r="I706" s="1753" t="s">
        <v>2330</v>
      </c>
      <c r="J706" t="s">
        <v>17</v>
      </c>
      <c r="K706" t="s">
        <v>3208</v>
      </c>
      <c r="L706" t="s">
        <v>3368</v>
      </c>
      <c r="M706" t="s">
        <v>3369</v>
      </c>
      <c r="N706" t="s">
        <v>393</v>
      </c>
    </row>
    <row r="707" spans="1:14" ht="11.25" customHeight="1">
      <c r="A707" s="1753" t="s">
        <v>2199</v>
      </c>
      <c r="B707" s="1753" t="s">
        <v>14</v>
      </c>
      <c r="C707" s="1753" t="s">
        <v>3079</v>
      </c>
      <c r="D707" s="1753" t="s">
        <v>3080</v>
      </c>
      <c r="E707" s="1753" t="s">
        <v>3081</v>
      </c>
      <c r="F707" s="1753" t="s">
        <v>2539</v>
      </c>
      <c r="G707" s="1753" t="s">
        <v>17</v>
      </c>
      <c r="H707" s="1753" t="s">
        <v>17</v>
      </c>
      <c r="I707" s="1753" t="s">
        <v>2330</v>
      </c>
      <c r="J707" t="s">
        <v>17</v>
      </c>
      <c r="K707" t="s">
        <v>3200</v>
      </c>
      <c r="L707" t="s">
        <v>3201</v>
      </c>
      <c r="M707" t="s">
        <v>3202</v>
      </c>
      <c r="N707" t="s">
        <v>393</v>
      </c>
    </row>
    <row r="708" spans="1:14" ht="11.25" customHeight="1">
      <c r="A708" s="1753" t="s">
        <v>2199</v>
      </c>
      <c r="B708" s="1753" t="s">
        <v>14</v>
      </c>
      <c r="C708" s="1753" t="s">
        <v>3082</v>
      </c>
      <c r="D708" s="1753" t="s">
        <v>3083</v>
      </c>
      <c r="E708" s="1753" t="s">
        <v>3084</v>
      </c>
      <c r="F708" s="1753" t="s">
        <v>2273</v>
      </c>
      <c r="G708" s="1753" t="s">
        <v>17</v>
      </c>
      <c r="H708" s="1753" t="s">
        <v>17</v>
      </c>
      <c r="I708" s="1753" t="s">
        <v>2464</v>
      </c>
      <c r="J708" t="s">
        <v>17</v>
      </c>
      <c r="K708" t="s">
        <v>3200</v>
      </c>
      <c r="L708" t="s">
        <v>3232</v>
      </c>
      <c r="M708" t="s">
        <v>3233</v>
      </c>
      <c r="N708" t="s">
        <v>393</v>
      </c>
    </row>
    <row r="709" spans="1:14" ht="11.25" customHeight="1">
      <c r="A709" s="1753" t="s">
        <v>2199</v>
      </c>
      <c r="B709" s="1753" t="s">
        <v>14</v>
      </c>
      <c r="C709" s="1753" t="s">
        <v>3082</v>
      </c>
      <c r="D709" s="1753" t="s">
        <v>3083</v>
      </c>
      <c r="E709" s="1753" t="s">
        <v>3084</v>
      </c>
      <c r="F709" s="1753" t="s">
        <v>2273</v>
      </c>
      <c r="G709" s="1753" t="s">
        <v>17</v>
      </c>
      <c r="H709" s="1753" t="s">
        <v>17</v>
      </c>
      <c r="I709" s="1753" t="s">
        <v>2464</v>
      </c>
      <c r="J709" t="s">
        <v>17</v>
      </c>
      <c r="K709" t="s">
        <v>3208</v>
      </c>
      <c r="L709" t="s">
        <v>3232</v>
      </c>
      <c r="M709" t="s">
        <v>3233</v>
      </c>
      <c r="N709" t="s">
        <v>393</v>
      </c>
    </row>
    <row r="710" spans="1:14" ht="11.25" customHeight="1">
      <c r="A710" s="1753" t="s">
        <v>2199</v>
      </c>
      <c r="B710" s="1753" t="s">
        <v>14</v>
      </c>
      <c r="C710" s="1753" t="s">
        <v>3089</v>
      </c>
      <c r="D710" s="1753" t="s">
        <v>3090</v>
      </c>
      <c r="E710" s="1753" t="s">
        <v>3091</v>
      </c>
      <c r="F710" s="1753" t="s">
        <v>3092</v>
      </c>
      <c r="G710" s="1753" t="s">
        <v>17</v>
      </c>
      <c r="H710" s="1753" t="s">
        <v>17</v>
      </c>
      <c r="I710" s="1753" t="s">
        <v>3504</v>
      </c>
      <c r="J710" t="s">
        <v>17</v>
      </c>
      <c r="K710" t="s">
        <v>3200</v>
      </c>
      <c r="L710" t="s">
        <v>3206</v>
      </c>
      <c r="M710" t="s">
        <v>3207</v>
      </c>
      <c r="N710" t="s">
        <v>393</v>
      </c>
    </row>
    <row r="711" spans="1:14" ht="11.25" customHeight="1">
      <c r="A711" s="1753" t="s">
        <v>2199</v>
      </c>
      <c r="B711" s="1753" t="s">
        <v>14</v>
      </c>
      <c r="C711" s="1753" t="s">
        <v>3089</v>
      </c>
      <c r="D711" s="1753" t="s">
        <v>3090</v>
      </c>
      <c r="E711" s="1753" t="s">
        <v>3091</v>
      </c>
      <c r="F711" s="1753" t="s">
        <v>3092</v>
      </c>
      <c r="G711" s="1753" t="s">
        <v>17</v>
      </c>
      <c r="H711" s="1753" t="s">
        <v>17</v>
      </c>
      <c r="I711" s="1753" t="s">
        <v>3504</v>
      </c>
      <c r="J711" t="s">
        <v>17</v>
      </c>
      <c r="K711" t="s">
        <v>3208</v>
      </c>
      <c r="L711" t="s">
        <v>3206</v>
      </c>
      <c r="M711" t="s">
        <v>3207</v>
      </c>
      <c r="N711" t="s">
        <v>393</v>
      </c>
    </row>
    <row r="712" spans="1:14" ht="11.25" customHeight="1">
      <c r="A712" s="1753" t="s">
        <v>2199</v>
      </c>
      <c r="B712" s="1753" t="s">
        <v>14</v>
      </c>
      <c r="C712" s="1753" t="s">
        <v>3102</v>
      </c>
      <c r="D712" s="1753" t="s">
        <v>3103</v>
      </c>
      <c r="E712" s="1753" t="s">
        <v>3104</v>
      </c>
      <c r="F712" s="1753" t="s">
        <v>2380</v>
      </c>
      <c r="G712" s="1753" t="s">
        <v>17</v>
      </c>
      <c r="H712" s="1753" t="s">
        <v>17</v>
      </c>
      <c r="I712" s="1753" t="s">
        <v>3105</v>
      </c>
      <c r="J712" t="s">
        <v>17</v>
      </c>
      <c r="K712" t="s">
        <v>3200</v>
      </c>
      <c r="L712" t="s">
        <v>3206</v>
      </c>
      <c r="M712" t="s">
        <v>3207</v>
      </c>
      <c r="N712" t="s">
        <v>393</v>
      </c>
    </row>
    <row r="713" spans="1:14" ht="11.25" customHeight="1">
      <c r="A713" s="1753" t="s">
        <v>2199</v>
      </c>
      <c r="B713" s="1753" t="s">
        <v>14</v>
      </c>
      <c r="C713" s="1753" t="s">
        <v>3102</v>
      </c>
      <c r="D713" s="1753" t="s">
        <v>3103</v>
      </c>
      <c r="E713" s="1753" t="s">
        <v>3104</v>
      </c>
      <c r="F713" s="1753" t="s">
        <v>2380</v>
      </c>
      <c r="G713" s="1753" t="s">
        <v>17</v>
      </c>
      <c r="H713" s="1753" t="s">
        <v>17</v>
      </c>
      <c r="I713" s="1753" t="s">
        <v>3105</v>
      </c>
      <c r="J713" t="s">
        <v>17</v>
      </c>
      <c r="K713" t="s">
        <v>3208</v>
      </c>
      <c r="L713" t="s">
        <v>3206</v>
      </c>
      <c r="M713" t="s">
        <v>3207</v>
      </c>
      <c r="N713" t="s">
        <v>393</v>
      </c>
    </row>
    <row r="714" spans="1:14" ht="11.25" customHeight="1">
      <c r="A714" s="1753" t="s">
        <v>2199</v>
      </c>
      <c r="B714" s="1753" t="s">
        <v>14</v>
      </c>
      <c r="C714" s="1753" t="s">
        <v>3106</v>
      </c>
      <c r="D714" s="1753" t="s">
        <v>3107</v>
      </c>
      <c r="E714" s="1753" t="s">
        <v>3108</v>
      </c>
      <c r="F714" s="1753" t="s">
        <v>2670</v>
      </c>
      <c r="G714" s="1753" t="s">
        <v>17</v>
      </c>
      <c r="H714" s="1753" t="s">
        <v>17</v>
      </c>
      <c r="I714" s="1753" t="s">
        <v>2452</v>
      </c>
      <c r="J714" t="s">
        <v>17</v>
      </c>
      <c r="K714" t="s">
        <v>3200</v>
      </c>
      <c r="L714" t="s">
        <v>3206</v>
      </c>
      <c r="M714" t="s">
        <v>3207</v>
      </c>
      <c r="N714" t="s">
        <v>393</v>
      </c>
    </row>
    <row r="715" spans="1:14" ht="11.25" customHeight="1">
      <c r="A715" s="1753" t="s">
        <v>2199</v>
      </c>
      <c r="B715" s="1753" t="s">
        <v>14</v>
      </c>
      <c r="C715" s="1753" t="s">
        <v>3106</v>
      </c>
      <c r="D715" s="1753" t="s">
        <v>3107</v>
      </c>
      <c r="E715" s="1753" t="s">
        <v>3108</v>
      </c>
      <c r="F715" s="1753" t="s">
        <v>2670</v>
      </c>
      <c r="G715" s="1753" t="s">
        <v>17</v>
      </c>
      <c r="H715" s="1753" t="s">
        <v>17</v>
      </c>
      <c r="I715" s="1753" t="s">
        <v>2452</v>
      </c>
      <c r="J715" t="s">
        <v>17</v>
      </c>
      <c r="K715" t="s">
        <v>3208</v>
      </c>
      <c r="L715" t="s">
        <v>3206</v>
      </c>
      <c r="M715" t="s">
        <v>3207</v>
      </c>
      <c r="N715" t="s">
        <v>393</v>
      </c>
    </row>
    <row r="716" spans="1:14" ht="11.25" customHeight="1">
      <c r="A716" s="1753" t="s">
        <v>2199</v>
      </c>
      <c r="B716" s="1753" t="s">
        <v>14</v>
      </c>
      <c r="C716" s="1753" t="s">
        <v>3505</v>
      </c>
      <c r="D716" s="1753" t="s">
        <v>3506</v>
      </c>
      <c r="E716" s="1753" t="s">
        <v>3507</v>
      </c>
      <c r="F716" s="1753" t="s">
        <v>2705</v>
      </c>
      <c r="G716" s="1753" t="s">
        <v>17</v>
      </c>
      <c r="H716" s="1753" t="s">
        <v>17</v>
      </c>
      <c r="I716" s="1753" t="s">
        <v>2246</v>
      </c>
      <c r="J716" t="s">
        <v>17</v>
      </c>
      <c r="K716" t="s">
        <v>3200</v>
      </c>
      <c r="L716" t="s">
        <v>3206</v>
      </c>
      <c r="M716" t="s">
        <v>3207</v>
      </c>
      <c r="N716" t="s">
        <v>393</v>
      </c>
    </row>
    <row r="717" spans="1:14" ht="11.25" customHeight="1">
      <c r="A717" s="1753" t="s">
        <v>2199</v>
      </c>
      <c r="B717" s="1753" t="s">
        <v>14</v>
      </c>
      <c r="C717" s="1753" t="s">
        <v>3505</v>
      </c>
      <c r="D717" s="1753" t="s">
        <v>3506</v>
      </c>
      <c r="E717" s="1753" t="s">
        <v>3507</v>
      </c>
      <c r="F717" s="1753" t="s">
        <v>2705</v>
      </c>
      <c r="G717" s="1753" t="s">
        <v>17</v>
      </c>
      <c r="H717" s="1753" t="s">
        <v>17</v>
      </c>
      <c r="I717" s="1753" t="s">
        <v>2246</v>
      </c>
      <c r="J717" t="s">
        <v>17</v>
      </c>
      <c r="K717" t="s">
        <v>3208</v>
      </c>
      <c r="L717" t="s">
        <v>3206</v>
      </c>
      <c r="M717" t="s">
        <v>3207</v>
      </c>
      <c r="N717" t="s">
        <v>393</v>
      </c>
    </row>
    <row r="718" spans="1:14" ht="11.25" customHeight="1">
      <c r="A718" s="1753" t="s">
        <v>2199</v>
      </c>
      <c r="B718" s="1753" t="s">
        <v>14</v>
      </c>
      <c r="C718" s="1753" t="s">
        <v>3508</v>
      </c>
      <c r="D718" s="1753" t="s">
        <v>3509</v>
      </c>
      <c r="E718" s="1753" t="s">
        <v>3510</v>
      </c>
      <c r="F718" s="1753" t="s">
        <v>2457</v>
      </c>
      <c r="G718" s="1753" t="s">
        <v>3511</v>
      </c>
      <c r="H718" s="1753" t="s">
        <v>17</v>
      </c>
      <c r="I718" s="1753" t="s">
        <v>2330</v>
      </c>
      <c r="J718" t="s">
        <v>17</v>
      </c>
      <c r="K718" t="s">
        <v>3200</v>
      </c>
      <c r="L718" t="s">
        <v>3206</v>
      </c>
      <c r="M718" t="s">
        <v>3207</v>
      </c>
      <c r="N718" t="s">
        <v>393</v>
      </c>
    </row>
    <row r="719" spans="1:14" ht="11.25" customHeight="1">
      <c r="A719" s="1753" t="s">
        <v>2199</v>
      </c>
      <c r="B719" s="1753" t="s">
        <v>14</v>
      </c>
      <c r="C719" s="1753" t="s">
        <v>3508</v>
      </c>
      <c r="D719" s="1753" t="s">
        <v>3509</v>
      </c>
      <c r="E719" s="1753" t="s">
        <v>3510</v>
      </c>
      <c r="F719" s="1753" t="s">
        <v>2457</v>
      </c>
      <c r="G719" s="1753" t="s">
        <v>3511</v>
      </c>
      <c r="H719" s="1753" t="s">
        <v>17</v>
      </c>
      <c r="I719" s="1753" t="s">
        <v>2330</v>
      </c>
      <c r="J719" t="s">
        <v>17</v>
      </c>
      <c r="K719" t="s">
        <v>3208</v>
      </c>
      <c r="L719" t="s">
        <v>3206</v>
      </c>
      <c r="M719" t="s">
        <v>3207</v>
      </c>
      <c r="N719" t="s">
        <v>393</v>
      </c>
    </row>
    <row r="720" spans="1:14" ht="11.25" customHeight="1">
      <c r="A720" s="1753" t="s">
        <v>2199</v>
      </c>
      <c r="B720" s="1753" t="s">
        <v>14</v>
      </c>
      <c r="C720" s="1753" t="s">
        <v>3512</v>
      </c>
      <c r="D720" s="1753" t="s">
        <v>3513</v>
      </c>
      <c r="E720" s="1753" t="s">
        <v>3514</v>
      </c>
      <c r="F720" s="1753" t="s">
        <v>2670</v>
      </c>
      <c r="G720" s="1753" t="s">
        <v>17</v>
      </c>
      <c r="H720" s="1753" t="s">
        <v>17</v>
      </c>
      <c r="I720" s="1753" t="s">
        <v>2452</v>
      </c>
      <c r="J720" t="s">
        <v>17</v>
      </c>
      <c r="K720" t="s">
        <v>3200</v>
      </c>
      <c r="L720" t="s">
        <v>3206</v>
      </c>
      <c r="M720" t="s">
        <v>3207</v>
      </c>
      <c r="N720" t="s">
        <v>393</v>
      </c>
    </row>
    <row r="721" spans="1:14" ht="11.25" customHeight="1">
      <c r="A721" s="1753" t="s">
        <v>2199</v>
      </c>
      <c r="B721" s="1753" t="s">
        <v>14</v>
      </c>
      <c r="C721" s="1753" t="s">
        <v>3512</v>
      </c>
      <c r="D721" s="1753" t="s">
        <v>3513</v>
      </c>
      <c r="E721" s="1753" t="s">
        <v>3514</v>
      </c>
      <c r="F721" s="1753" t="s">
        <v>2670</v>
      </c>
      <c r="G721" s="1753" t="s">
        <v>17</v>
      </c>
      <c r="H721" s="1753" t="s">
        <v>17</v>
      </c>
      <c r="I721" s="1753" t="s">
        <v>2452</v>
      </c>
      <c r="J721" t="s">
        <v>17</v>
      </c>
      <c r="K721" t="s">
        <v>3208</v>
      </c>
      <c r="L721" t="s">
        <v>3206</v>
      </c>
      <c r="M721" t="s">
        <v>3207</v>
      </c>
      <c r="N721" t="s">
        <v>393</v>
      </c>
    </row>
    <row r="722" spans="1:14" ht="11.25" customHeight="1">
      <c r="A722" s="1753" t="s">
        <v>2199</v>
      </c>
      <c r="B722" s="1753" t="s">
        <v>14</v>
      </c>
      <c r="C722" s="1753" t="s">
        <v>3113</v>
      </c>
      <c r="D722" s="1753" t="s">
        <v>3114</v>
      </c>
      <c r="E722" s="1753" t="s">
        <v>3115</v>
      </c>
      <c r="F722" s="1753" t="s">
        <v>2457</v>
      </c>
      <c r="G722" s="1753" t="s">
        <v>17</v>
      </c>
      <c r="H722" s="1753" t="s">
        <v>17</v>
      </c>
      <c r="I722" s="1753" t="s">
        <v>2330</v>
      </c>
      <c r="J722" t="s">
        <v>17</v>
      </c>
      <c r="K722" t="s">
        <v>3200</v>
      </c>
      <c r="L722" t="s">
        <v>3206</v>
      </c>
      <c r="M722" t="s">
        <v>3207</v>
      </c>
      <c r="N722" t="s">
        <v>393</v>
      </c>
    </row>
    <row r="723" spans="1:14" ht="11.25" customHeight="1">
      <c r="A723" s="1753" t="s">
        <v>2199</v>
      </c>
      <c r="B723" s="1753" t="s">
        <v>14</v>
      </c>
      <c r="C723" s="1753" t="s">
        <v>3113</v>
      </c>
      <c r="D723" s="1753" t="s">
        <v>3114</v>
      </c>
      <c r="E723" s="1753" t="s">
        <v>3115</v>
      </c>
      <c r="F723" s="1753" t="s">
        <v>2457</v>
      </c>
      <c r="G723" s="1753" t="s">
        <v>17</v>
      </c>
      <c r="H723" s="1753" t="s">
        <v>17</v>
      </c>
      <c r="I723" s="1753" t="s">
        <v>2330</v>
      </c>
      <c r="J723" t="s">
        <v>17</v>
      </c>
      <c r="K723" t="s">
        <v>3208</v>
      </c>
      <c r="L723" t="s">
        <v>3206</v>
      </c>
      <c r="M723" t="s">
        <v>3207</v>
      </c>
      <c r="N723" t="s">
        <v>393</v>
      </c>
    </row>
    <row r="724" spans="1:14" ht="11.25" customHeight="1">
      <c r="A724" s="1753" t="s">
        <v>2199</v>
      </c>
      <c r="B724" s="1753" t="s">
        <v>14</v>
      </c>
      <c r="C724" s="1753" t="s">
        <v>3120</v>
      </c>
      <c r="D724" s="1753" t="s">
        <v>3121</v>
      </c>
      <c r="E724" s="1753" t="s">
        <v>3122</v>
      </c>
      <c r="F724" s="1753" t="s">
        <v>3123</v>
      </c>
      <c r="G724" s="1753" t="s">
        <v>17</v>
      </c>
      <c r="H724" s="1753" t="s">
        <v>17</v>
      </c>
      <c r="I724" s="1753" t="s">
        <v>3124</v>
      </c>
      <c r="J724" t="s">
        <v>17</v>
      </c>
      <c r="K724" t="s">
        <v>3200</v>
      </c>
      <c r="L724" t="s">
        <v>3515</v>
      </c>
      <c r="M724" t="s">
        <v>3516</v>
      </c>
      <c r="N724" t="s">
        <v>393</v>
      </c>
    </row>
    <row r="725" spans="1:14" ht="11.25" customHeight="1">
      <c r="A725" s="1753" t="s">
        <v>2199</v>
      </c>
      <c r="B725" s="1753" t="s">
        <v>14</v>
      </c>
      <c r="C725" s="1753" t="s">
        <v>3120</v>
      </c>
      <c r="D725" s="1753" t="s">
        <v>3121</v>
      </c>
      <c r="E725" s="1753" t="s">
        <v>3122</v>
      </c>
      <c r="F725" s="1753" t="s">
        <v>3123</v>
      </c>
      <c r="G725" s="1753" t="s">
        <v>17</v>
      </c>
      <c r="H725" s="1753" t="s">
        <v>17</v>
      </c>
      <c r="I725" s="1753" t="s">
        <v>3124</v>
      </c>
      <c r="J725" t="s">
        <v>17</v>
      </c>
      <c r="K725" t="s">
        <v>3208</v>
      </c>
      <c r="L725" t="s">
        <v>3515</v>
      </c>
      <c r="M725" t="s">
        <v>3516</v>
      </c>
      <c r="N725" t="s">
        <v>393</v>
      </c>
    </row>
    <row r="726" spans="1:14" ht="11.25" customHeight="1">
      <c r="A726" s="1753" t="s">
        <v>2199</v>
      </c>
      <c r="B726" s="1753" t="s">
        <v>14</v>
      </c>
      <c r="C726" s="1753" t="s">
        <v>3120</v>
      </c>
      <c r="D726" s="1753" t="s">
        <v>3121</v>
      </c>
      <c r="E726" s="1753" t="s">
        <v>3122</v>
      </c>
      <c r="F726" s="1753" t="s">
        <v>3123</v>
      </c>
      <c r="G726" s="1753" t="s">
        <v>17</v>
      </c>
      <c r="H726" s="1753" t="s">
        <v>17</v>
      </c>
      <c r="I726" s="1753" t="s">
        <v>2330</v>
      </c>
      <c r="J726" t="s">
        <v>17</v>
      </c>
      <c r="K726" t="s">
        <v>3208</v>
      </c>
      <c r="L726" t="s">
        <v>3221</v>
      </c>
      <c r="M726" t="s">
        <v>3487</v>
      </c>
      <c r="N726" t="s">
        <v>393</v>
      </c>
    </row>
    <row r="727" spans="1:14" ht="11.25" customHeight="1">
      <c r="A727" s="1753" t="s">
        <v>2199</v>
      </c>
      <c r="B727" s="1753" t="s">
        <v>14</v>
      </c>
      <c r="C727" s="1753" t="s">
        <v>3120</v>
      </c>
      <c r="D727" s="1753" t="s">
        <v>3121</v>
      </c>
      <c r="E727" s="1753" t="s">
        <v>3122</v>
      </c>
      <c r="F727" s="1753" t="s">
        <v>3123</v>
      </c>
      <c r="G727" s="1753" t="s">
        <v>17</v>
      </c>
      <c r="H727" s="1753" t="s">
        <v>17</v>
      </c>
      <c r="I727" s="1753" t="s">
        <v>2330</v>
      </c>
      <c r="J727" t="s">
        <v>17</v>
      </c>
      <c r="K727" t="s">
        <v>3200</v>
      </c>
      <c r="L727" t="s">
        <v>3515</v>
      </c>
      <c r="M727" t="s">
        <v>3516</v>
      </c>
      <c r="N727" t="s">
        <v>393</v>
      </c>
    </row>
    <row r="728" spans="1:14" ht="11.25" customHeight="1">
      <c r="A728" s="1753" t="s">
        <v>2199</v>
      </c>
      <c r="B728" s="1753" t="s">
        <v>14</v>
      </c>
      <c r="C728" s="1753" t="s">
        <v>3120</v>
      </c>
      <c r="D728" s="1753" t="s">
        <v>3121</v>
      </c>
      <c r="E728" s="1753" t="s">
        <v>3122</v>
      </c>
      <c r="F728" s="1753" t="s">
        <v>3123</v>
      </c>
      <c r="G728" s="1753" t="s">
        <v>17</v>
      </c>
      <c r="H728" s="1753" t="s">
        <v>17</v>
      </c>
      <c r="I728" s="1753" t="s">
        <v>2330</v>
      </c>
      <c r="J728" t="s">
        <v>17</v>
      </c>
      <c r="K728" t="s">
        <v>3208</v>
      </c>
      <c r="L728" t="s">
        <v>3515</v>
      </c>
      <c r="M728" t="s">
        <v>3516</v>
      </c>
      <c r="N728" t="s">
        <v>393</v>
      </c>
    </row>
    <row r="729" spans="1:14" ht="11.25" customHeight="1">
      <c r="A729" s="1753" t="s">
        <v>2199</v>
      </c>
      <c r="B729" s="1753" t="s">
        <v>14</v>
      </c>
      <c r="C729" s="1753" t="s">
        <v>3134</v>
      </c>
      <c r="D729" s="1753" t="s">
        <v>3135</v>
      </c>
      <c r="E729" s="1753" t="s">
        <v>3136</v>
      </c>
      <c r="F729" s="1753" t="s">
        <v>2259</v>
      </c>
      <c r="G729" s="1753" t="s">
        <v>17</v>
      </c>
      <c r="H729" s="1753" t="s">
        <v>17</v>
      </c>
      <c r="I729" s="1753" t="s">
        <v>2452</v>
      </c>
      <c r="J729" t="s">
        <v>17</v>
      </c>
      <c r="K729" t="s">
        <v>3200</v>
      </c>
      <c r="L729" t="s">
        <v>3206</v>
      </c>
      <c r="M729" t="s">
        <v>3207</v>
      </c>
      <c r="N729" t="s">
        <v>393</v>
      </c>
    </row>
    <row r="730" spans="1:14" ht="11.25" customHeight="1">
      <c r="A730" s="1753" t="s">
        <v>2199</v>
      </c>
      <c r="B730" s="1753" t="s">
        <v>14</v>
      </c>
      <c r="C730" s="1753" t="s">
        <v>3134</v>
      </c>
      <c r="D730" s="1753" t="s">
        <v>3135</v>
      </c>
      <c r="E730" s="1753" t="s">
        <v>3136</v>
      </c>
      <c r="F730" s="1753" t="s">
        <v>2259</v>
      </c>
      <c r="G730" s="1753" t="s">
        <v>17</v>
      </c>
      <c r="H730" s="1753" t="s">
        <v>17</v>
      </c>
      <c r="I730" s="1753" t="s">
        <v>2452</v>
      </c>
      <c r="J730" t="s">
        <v>17</v>
      </c>
      <c r="K730" t="s">
        <v>3208</v>
      </c>
      <c r="L730" t="s">
        <v>3206</v>
      </c>
      <c r="M730" t="s">
        <v>3207</v>
      </c>
      <c r="N730" t="s">
        <v>393</v>
      </c>
    </row>
    <row r="731" spans="1:14" ht="11.25" customHeight="1">
      <c r="A731" s="1753" t="s">
        <v>2199</v>
      </c>
      <c r="B731" s="1753" t="s">
        <v>14</v>
      </c>
      <c r="C731" s="1753" t="s">
        <v>3134</v>
      </c>
      <c r="D731" s="1753" t="s">
        <v>3135</v>
      </c>
      <c r="E731" s="1753" t="s">
        <v>3136</v>
      </c>
      <c r="F731" s="1753" t="s">
        <v>2259</v>
      </c>
      <c r="G731" s="1753" t="s">
        <v>17</v>
      </c>
      <c r="H731" s="1753" t="s">
        <v>17</v>
      </c>
      <c r="I731" s="1753" t="s">
        <v>2246</v>
      </c>
      <c r="J731" t="s">
        <v>17</v>
      </c>
      <c r="K731" t="s">
        <v>3200</v>
      </c>
      <c r="L731" t="s">
        <v>3206</v>
      </c>
      <c r="M731" t="s">
        <v>3207</v>
      </c>
      <c r="N731" t="s">
        <v>393</v>
      </c>
    </row>
    <row r="732" spans="1:14" ht="11.25" customHeight="1">
      <c r="A732" s="1753" t="s">
        <v>2199</v>
      </c>
      <c r="B732" s="1753" t="s">
        <v>14</v>
      </c>
      <c r="C732" s="1753" t="s">
        <v>3134</v>
      </c>
      <c r="D732" s="1753" t="s">
        <v>3135</v>
      </c>
      <c r="E732" s="1753" t="s">
        <v>3136</v>
      </c>
      <c r="F732" s="1753" t="s">
        <v>2259</v>
      </c>
      <c r="G732" s="1753" t="s">
        <v>17</v>
      </c>
      <c r="H732" s="1753" t="s">
        <v>17</v>
      </c>
      <c r="I732" s="1753" t="s">
        <v>2246</v>
      </c>
      <c r="J732" t="s">
        <v>17</v>
      </c>
      <c r="K732" t="s">
        <v>3208</v>
      </c>
      <c r="L732" t="s">
        <v>3206</v>
      </c>
      <c r="M732" t="s">
        <v>3207</v>
      </c>
      <c r="N732" t="s">
        <v>393</v>
      </c>
    </row>
    <row r="733" spans="1:14" ht="11.25" customHeight="1">
      <c r="A733" s="1753" t="s">
        <v>2199</v>
      </c>
      <c r="B733" s="1753" t="s">
        <v>14</v>
      </c>
      <c r="C733" s="1753" t="s">
        <v>3144</v>
      </c>
      <c r="D733" s="1753" t="s">
        <v>3145</v>
      </c>
      <c r="E733" s="1753" t="s">
        <v>3146</v>
      </c>
      <c r="F733" s="1753" t="s">
        <v>2420</v>
      </c>
      <c r="G733" s="1753" t="s">
        <v>17</v>
      </c>
      <c r="H733" s="1753" t="s">
        <v>17</v>
      </c>
      <c r="I733" s="1753" t="s">
        <v>2330</v>
      </c>
      <c r="J733" t="s">
        <v>17</v>
      </c>
      <c r="K733" t="s">
        <v>3200</v>
      </c>
      <c r="L733" t="s">
        <v>3206</v>
      </c>
      <c r="M733" t="s">
        <v>3207</v>
      </c>
      <c r="N733" t="s">
        <v>393</v>
      </c>
    </row>
    <row r="734" spans="1:14" ht="11.25" customHeight="1">
      <c r="A734" s="1753" t="s">
        <v>2199</v>
      </c>
      <c r="B734" s="1753" t="s">
        <v>14</v>
      </c>
      <c r="C734" s="1753" t="s">
        <v>3144</v>
      </c>
      <c r="D734" s="1753" t="s">
        <v>3145</v>
      </c>
      <c r="E734" s="1753" t="s">
        <v>3146</v>
      </c>
      <c r="F734" s="1753" t="s">
        <v>2420</v>
      </c>
      <c r="G734" s="1753" t="s">
        <v>17</v>
      </c>
      <c r="H734" s="1753" t="s">
        <v>17</v>
      </c>
      <c r="I734" s="1753" t="s">
        <v>2330</v>
      </c>
      <c r="J734" t="s">
        <v>17</v>
      </c>
      <c r="K734" t="s">
        <v>3208</v>
      </c>
      <c r="L734" t="s">
        <v>3206</v>
      </c>
      <c r="M734" t="s">
        <v>3207</v>
      </c>
      <c r="N734" t="s">
        <v>393</v>
      </c>
    </row>
    <row r="735" spans="1:14" ht="11.25" customHeight="1">
      <c r="A735" s="1753" t="s">
        <v>2199</v>
      </c>
      <c r="B735" s="1753" t="s">
        <v>14</v>
      </c>
      <c r="C735" s="1753" t="s">
        <v>3150</v>
      </c>
      <c r="D735" s="1753" t="s">
        <v>3151</v>
      </c>
      <c r="E735" s="1753" t="s">
        <v>3152</v>
      </c>
      <c r="F735" s="1753" t="s">
        <v>2665</v>
      </c>
      <c r="G735" s="1753" t="s">
        <v>3153</v>
      </c>
      <c r="H735" s="1753" t="s">
        <v>17</v>
      </c>
      <c r="I735" s="1753" t="s">
        <v>2330</v>
      </c>
      <c r="J735" t="s">
        <v>17</v>
      </c>
      <c r="K735" t="s">
        <v>3200</v>
      </c>
      <c r="L735" t="s">
        <v>3201</v>
      </c>
      <c r="M735" t="s">
        <v>3202</v>
      </c>
      <c r="N735" t="s">
        <v>393</v>
      </c>
    </row>
    <row r="736" spans="1:14" ht="11.25" customHeight="1">
      <c r="A736" s="1753" t="s">
        <v>2199</v>
      </c>
      <c r="B736" s="1753" t="s">
        <v>14</v>
      </c>
      <c r="C736" s="1753" t="s">
        <v>3154</v>
      </c>
      <c r="D736" s="1753" t="s">
        <v>3155</v>
      </c>
      <c r="E736" s="1753" t="s">
        <v>3156</v>
      </c>
      <c r="F736" s="1753" t="s">
        <v>3157</v>
      </c>
      <c r="G736" s="1753" t="s">
        <v>17</v>
      </c>
      <c r="H736" s="1753" t="s">
        <v>17</v>
      </c>
      <c r="I736" s="1753" t="s">
        <v>2827</v>
      </c>
      <c r="J736" t="s">
        <v>17</v>
      </c>
      <c r="K736" t="s">
        <v>3200</v>
      </c>
      <c r="L736" t="s">
        <v>3212</v>
      </c>
      <c r="M736" t="s">
        <v>3213</v>
      </c>
      <c r="N736" t="s">
        <v>393</v>
      </c>
    </row>
    <row r="737" spans="1:14" ht="11.25" customHeight="1">
      <c r="A737" s="1753" t="s">
        <v>2199</v>
      </c>
      <c r="B737" s="1753" t="s">
        <v>14</v>
      </c>
      <c r="C737" s="1753" t="s">
        <v>3154</v>
      </c>
      <c r="D737" s="1753" t="s">
        <v>3155</v>
      </c>
      <c r="E737" s="1753" t="s">
        <v>3156</v>
      </c>
      <c r="F737" s="1753" t="s">
        <v>3157</v>
      </c>
      <c r="G737" s="1753" t="s">
        <v>17</v>
      </c>
      <c r="H737" s="1753" t="s">
        <v>17</v>
      </c>
      <c r="I737" s="1753" t="s">
        <v>2827</v>
      </c>
      <c r="J737" t="s">
        <v>17</v>
      </c>
      <c r="K737" t="s">
        <v>3208</v>
      </c>
      <c r="L737" t="s">
        <v>3212</v>
      </c>
      <c r="M737" t="s">
        <v>3213</v>
      </c>
      <c r="N737" t="s">
        <v>393</v>
      </c>
    </row>
    <row r="738" spans="1:14" ht="11.25" customHeight="1">
      <c r="A738" s="1753" t="s">
        <v>2199</v>
      </c>
      <c r="B738" s="1753" t="s">
        <v>14</v>
      </c>
      <c r="C738" s="1753" t="s">
        <v>3195</v>
      </c>
      <c r="D738" s="1753" t="s">
        <v>3196</v>
      </c>
      <c r="E738" s="1753" t="s">
        <v>3197</v>
      </c>
      <c r="F738" s="1753" t="s">
        <v>3198</v>
      </c>
      <c r="G738" s="1753" t="s">
        <v>17</v>
      </c>
      <c r="H738" s="1753" t="s">
        <v>17</v>
      </c>
      <c r="I738" s="1753" t="s">
        <v>3199</v>
      </c>
      <c r="J738" t="s">
        <v>17</v>
      </c>
      <c r="K738" t="s">
        <v>3517</v>
      </c>
      <c r="L738" t="s">
        <v>3518</v>
      </c>
      <c r="M738" t="s">
        <v>3519</v>
      </c>
      <c r="N738" t="s">
        <v>394</v>
      </c>
    </row>
    <row r="739" spans="1:14" ht="11.25" customHeight="1">
      <c r="A739" s="1753" t="s">
        <v>2199</v>
      </c>
      <c r="B739" s="1753" t="s">
        <v>14</v>
      </c>
      <c r="C739" s="1753" t="s">
        <v>3520</v>
      </c>
      <c r="D739" s="1753" t="s">
        <v>3521</v>
      </c>
      <c r="E739" s="1753" t="s">
        <v>3522</v>
      </c>
      <c r="F739" s="1753" t="s">
        <v>2268</v>
      </c>
      <c r="G739" s="1753" t="s">
        <v>17</v>
      </c>
      <c r="H739" s="1753" t="s">
        <v>17</v>
      </c>
      <c r="I739" s="1753" t="s">
        <v>2214</v>
      </c>
      <c r="J739" t="s">
        <v>17</v>
      </c>
      <c r="K739" t="s">
        <v>3517</v>
      </c>
      <c r="L739" t="s">
        <v>3518</v>
      </c>
      <c r="M739" t="s">
        <v>3519</v>
      </c>
      <c r="N739" t="s">
        <v>394</v>
      </c>
    </row>
    <row r="740" spans="1:14" ht="11.25" customHeight="1">
      <c r="A740" s="1753" t="s">
        <v>2199</v>
      </c>
      <c r="B740" s="1753" t="s">
        <v>14</v>
      </c>
      <c r="C740" s="1753" t="s">
        <v>3203</v>
      </c>
      <c r="D740" s="1753" t="s">
        <v>3204</v>
      </c>
      <c r="E740" s="1753" t="s">
        <v>3205</v>
      </c>
      <c r="F740" s="1753" t="s">
        <v>2268</v>
      </c>
      <c r="G740" s="1753" t="s">
        <v>17</v>
      </c>
      <c r="H740" s="1753" t="s">
        <v>17</v>
      </c>
      <c r="I740" s="1753" t="s">
        <v>2214</v>
      </c>
      <c r="J740" t="s">
        <v>17</v>
      </c>
      <c r="K740" t="s">
        <v>3517</v>
      </c>
      <c r="L740" t="s">
        <v>3518</v>
      </c>
      <c r="M740" t="s">
        <v>3519</v>
      </c>
      <c r="N740" t="s">
        <v>394</v>
      </c>
    </row>
    <row r="741" spans="1:14" ht="11.25" customHeight="1">
      <c r="A741" s="1753" t="s">
        <v>2199</v>
      </c>
      <c r="B741" s="1753" t="s">
        <v>14</v>
      </c>
      <c r="C741" s="1753" t="s">
        <v>2224</v>
      </c>
      <c r="D741" s="1753" t="s">
        <v>2225</v>
      </c>
      <c r="E741" s="1753" t="s">
        <v>2226</v>
      </c>
      <c r="F741" s="1753" t="s">
        <v>2227</v>
      </c>
      <c r="G741" s="1753" t="s">
        <v>17</v>
      </c>
      <c r="H741" s="1753" t="s">
        <v>17</v>
      </c>
      <c r="I741" s="1753" t="s">
        <v>2214</v>
      </c>
      <c r="J741" t="s">
        <v>17</v>
      </c>
      <c r="K741" t="s">
        <v>3517</v>
      </c>
      <c r="L741" t="s">
        <v>3518</v>
      </c>
      <c r="M741" t="s">
        <v>3519</v>
      </c>
      <c r="N741" t="s">
        <v>394</v>
      </c>
    </row>
    <row r="742" spans="1:14" ht="11.25" customHeight="1">
      <c r="A742" s="1753" t="s">
        <v>2199</v>
      </c>
      <c r="B742" s="1753" t="s">
        <v>14</v>
      </c>
      <c r="C742" s="1753" t="s">
        <v>3209</v>
      </c>
      <c r="D742" s="1753" t="s">
        <v>3210</v>
      </c>
      <c r="E742" s="1753" t="s">
        <v>3211</v>
      </c>
      <c r="F742" s="1753" t="s">
        <v>2227</v>
      </c>
      <c r="G742" s="1753" t="s">
        <v>17</v>
      </c>
      <c r="H742" s="1753" t="s">
        <v>17</v>
      </c>
      <c r="I742" s="1753" t="s">
        <v>2492</v>
      </c>
      <c r="J742" t="s">
        <v>17</v>
      </c>
      <c r="K742" t="s">
        <v>3517</v>
      </c>
      <c r="L742" t="s">
        <v>3518</v>
      </c>
      <c r="M742" t="s">
        <v>3519</v>
      </c>
      <c r="N742" t="s">
        <v>394</v>
      </c>
    </row>
    <row r="743" spans="1:14" ht="11.25" customHeight="1">
      <c r="A743" s="1753" t="s">
        <v>2199</v>
      </c>
      <c r="B743" s="1753" t="s">
        <v>14</v>
      </c>
      <c r="C743" s="1753" t="s">
        <v>3214</v>
      </c>
      <c r="D743" s="1753" t="s">
        <v>3215</v>
      </c>
      <c r="E743" s="1753" t="s">
        <v>3216</v>
      </c>
      <c r="F743" s="1753" t="s">
        <v>2259</v>
      </c>
      <c r="G743" s="1753" t="s">
        <v>17</v>
      </c>
      <c r="H743" s="1753" t="s">
        <v>17</v>
      </c>
      <c r="I743" s="1753" t="s">
        <v>2214</v>
      </c>
      <c r="J743" t="s">
        <v>17</v>
      </c>
      <c r="K743" t="s">
        <v>3517</v>
      </c>
      <c r="L743" t="s">
        <v>3518</v>
      </c>
      <c r="M743" t="s">
        <v>3519</v>
      </c>
      <c r="N743" t="s">
        <v>394</v>
      </c>
    </row>
    <row r="744" spans="1:14" ht="11.25" customHeight="1">
      <c r="A744" s="1753" t="s">
        <v>2199</v>
      </c>
      <c r="B744" s="1753" t="s">
        <v>14</v>
      </c>
      <c r="C744" s="1753" t="s">
        <v>2256</v>
      </c>
      <c r="D744" s="1753" t="s">
        <v>2257</v>
      </c>
      <c r="E744" s="1753" t="s">
        <v>2258</v>
      </c>
      <c r="F744" s="1753" t="s">
        <v>2259</v>
      </c>
      <c r="G744" s="1753" t="s">
        <v>17</v>
      </c>
      <c r="H744" s="1753" t="s">
        <v>17</v>
      </c>
      <c r="I744" s="1753" t="s">
        <v>3217</v>
      </c>
      <c r="J744" t="s">
        <v>17</v>
      </c>
      <c r="K744" t="s">
        <v>3517</v>
      </c>
      <c r="L744" t="s">
        <v>3518</v>
      </c>
      <c r="M744" t="s">
        <v>3519</v>
      </c>
      <c r="N744" t="s">
        <v>394</v>
      </c>
    </row>
    <row r="745" spans="1:14" ht="11.25" customHeight="1">
      <c r="A745" s="1753" t="s">
        <v>2199</v>
      </c>
      <c r="B745" s="1753" t="s">
        <v>14</v>
      </c>
      <c r="C745" s="1753" t="s">
        <v>2265</v>
      </c>
      <c r="D745" s="1753" t="s">
        <v>2266</v>
      </c>
      <c r="E745" s="1753" t="s">
        <v>2267</v>
      </c>
      <c r="F745" s="1753" t="s">
        <v>2268</v>
      </c>
      <c r="G745" s="1753" t="s">
        <v>17</v>
      </c>
      <c r="H745" s="1753" t="s">
        <v>17</v>
      </c>
      <c r="I745" s="1753" t="s">
        <v>2269</v>
      </c>
      <c r="J745" t="s">
        <v>17</v>
      </c>
      <c r="K745" t="s">
        <v>3517</v>
      </c>
      <c r="L745" t="s">
        <v>3518</v>
      </c>
      <c r="M745" t="s">
        <v>3519</v>
      </c>
      <c r="N745" t="s">
        <v>394</v>
      </c>
    </row>
    <row r="746" spans="1:14" ht="11.25" customHeight="1">
      <c r="A746" s="1753" t="s">
        <v>2199</v>
      </c>
      <c r="B746" s="1753" t="s">
        <v>14</v>
      </c>
      <c r="C746" s="1753" t="s">
        <v>3218</v>
      </c>
      <c r="D746" s="1753" t="s">
        <v>3219</v>
      </c>
      <c r="E746" s="1753" t="s">
        <v>3220</v>
      </c>
      <c r="F746" s="1753" t="s">
        <v>2259</v>
      </c>
      <c r="G746" s="1753" t="s">
        <v>17</v>
      </c>
      <c r="H746" s="1753" t="s">
        <v>17</v>
      </c>
      <c r="I746" s="1753" t="s">
        <v>3523</v>
      </c>
      <c r="J746" t="s">
        <v>17</v>
      </c>
      <c r="K746" t="s">
        <v>3524</v>
      </c>
      <c r="L746" t="s">
        <v>3525</v>
      </c>
      <c r="M746" t="s">
        <v>3526</v>
      </c>
      <c r="N746" t="s">
        <v>394</v>
      </c>
    </row>
    <row r="747" spans="1:14" ht="11.25" customHeight="1">
      <c r="A747" s="1753" t="s">
        <v>2199</v>
      </c>
      <c r="B747" s="1753" t="s">
        <v>14</v>
      </c>
      <c r="C747" s="1753" t="s">
        <v>3223</v>
      </c>
      <c r="D747" s="1753" t="s">
        <v>3224</v>
      </c>
      <c r="E747" s="1753" t="s">
        <v>3225</v>
      </c>
      <c r="F747" s="1753" t="s">
        <v>2268</v>
      </c>
      <c r="G747" s="1753" t="s">
        <v>17</v>
      </c>
      <c r="H747" s="1753" t="s">
        <v>17</v>
      </c>
      <c r="I747" s="1753" t="s">
        <v>3191</v>
      </c>
      <c r="J747" t="s">
        <v>17</v>
      </c>
      <c r="K747" t="s">
        <v>3517</v>
      </c>
      <c r="L747" t="s">
        <v>3518</v>
      </c>
      <c r="M747" t="s">
        <v>3519</v>
      </c>
      <c r="N747" t="s">
        <v>394</v>
      </c>
    </row>
    <row r="748" spans="1:14" ht="11.25" customHeight="1">
      <c r="A748" s="1753" t="s">
        <v>2199</v>
      </c>
      <c r="B748" s="1753" t="s">
        <v>14</v>
      </c>
      <c r="C748" s="1753" t="s">
        <v>3229</v>
      </c>
      <c r="D748" s="1753" t="s">
        <v>3230</v>
      </c>
      <c r="E748" s="1753" t="s">
        <v>3231</v>
      </c>
      <c r="F748" s="1753" t="s">
        <v>2213</v>
      </c>
      <c r="G748" s="1753" t="s">
        <v>17</v>
      </c>
      <c r="H748" s="1753" t="s">
        <v>17</v>
      </c>
      <c r="I748" s="1753" t="s">
        <v>2214</v>
      </c>
      <c r="J748" t="s">
        <v>17</v>
      </c>
      <c r="K748" t="s">
        <v>3517</v>
      </c>
      <c r="L748" t="s">
        <v>3518</v>
      </c>
      <c r="M748" t="s">
        <v>3519</v>
      </c>
      <c r="N748" t="s">
        <v>394</v>
      </c>
    </row>
    <row r="749" spans="1:14" ht="11.25" customHeight="1">
      <c r="A749" s="1753" t="s">
        <v>2199</v>
      </c>
      <c r="B749" s="1753" t="s">
        <v>14</v>
      </c>
      <c r="C749" s="1753" t="s">
        <v>3229</v>
      </c>
      <c r="D749" s="1753" t="s">
        <v>3230</v>
      </c>
      <c r="E749" s="1753" t="s">
        <v>3231</v>
      </c>
      <c r="F749" s="1753" t="s">
        <v>2213</v>
      </c>
      <c r="G749" s="1753" t="s">
        <v>17</v>
      </c>
      <c r="H749" s="1753" t="s">
        <v>17</v>
      </c>
      <c r="I749" s="1753" t="s">
        <v>2330</v>
      </c>
      <c r="J749" t="s">
        <v>17</v>
      </c>
      <c r="K749" t="s">
        <v>3517</v>
      </c>
      <c r="L749" t="s">
        <v>3518</v>
      </c>
      <c r="M749" t="s">
        <v>3519</v>
      </c>
      <c r="N749" t="s">
        <v>394</v>
      </c>
    </row>
    <row r="750" spans="1:14" ht="11.25" customHeight="1">
      <c r="A750" s="1753" t="s">
        <v>2199</v>
      </c>
      <c r="B750" s="1753" t="s">
        <v>14</v>
      </c>
      <c r="C750" s="1753" t="s">
        <v>2316</v>
      </c>
      <c r="D750" s="1753" t="s">
        <v>2317</v>
      </c>
      <c r="E750" s="1753" t="s">
        <v>2318</v>
      </c>
      <c r="F750" s="1753" t="s">
        <v>2319</v>
      </c>
      <c r="G750" s="1753" t="s">
        <v>17</v>
      </c>
      <c r="H750" s="1753" t="s">
        <v>17</v>
      </c>
      <c r="I750" s="1753" t="s">
        <v>2246</v>
      </c>
      <c r="J750" t="s">
        <v>17</v>
      </c>
      <c r="K750" t="s">
        <v>3517</v>
      </c>
      <c r="L750" t="s">
        <v>3518</v>
      </c>
      <c r="M750" t="s">
        <v>3519</v>
      </c>
      <c r="N750" t="s">
        <v>394</v>
      </c>
    </row>
    <row r="751" spans="1:14" ht="11.25" customHeight="1">
      <c r="A751" s="1753" t="s">
        <v>2199</v>
      </c>
      <c r="B751" s="1753" t="s">
        <v>14</v>
      </c>
      <c r="C751" s="1753" t="s">
        <v>2331</v>
      </c>
      <c r="D751" s="1753" t="s">
        <v>2332</v>
      </c>
      <c r="E751" s="1753" t="s">
        <v>2318</v>
      </c>
      <c r="F751" s="1753" t="s">
        <v>2333</v>
      </c>
      <c r="G751" s="1753" t="s">
        <v>17</v>
      </c>
      <c r="H751" s="1753" t="s">
        <v>17</v>
      </c>
      <c r="I751" s="1753" t="s">
        <v>2330</v>
      </c>
      <c r="J751" t="s">
        <v>17</v>
      </c>
      <c r="K751" t="s">
        <v>3517</v>
      </c>
      <c r="L751" t="s">
        <v>3518</v>
      </c>
      <c r="M751" t="s">
        <v>3519</v>
      </c>
      <c r="N751" t="s">
        <v>394</v>
      </c>
    </row>
    <row r="752" spans="1:14" ht="11.25" customHeight="1">
      <c r="A752" s="1753" t="s">
        <v>2199</v>
      </c>
      <c r="B752" s="1753" t="s">
        <v>14</v>
      </c>
      <c r="C752" s="1753" t="s">
        <v>2338</v>
      </c>
      <c r="D752" s="1753" t="s">
        <v>2339</v>
      </c>
      <c r="E752" s="1753" t="s">
        <v>2318</v>
      </c>
      <c r="F752" s="1753" t="s">
        <v>2340</v>
      </c>
      <c r="G752" s="1753" t="s">
        <v>17</v>
      </c>
      <c r="H752" s="1753" t="s">
        <v>17</v>
      </c>
      <c r="I752" s="1753" t="s">
        <v>2330</v>
      </c>
      <c r="J752" t="s">
        <v>17</v>
      </c>
      <c r="K752" t="s">
        <v>3517</v>
      </c>
      <c r="L752" t="s">
        <v>3518</v>
      </c>
      <c r="M752" t="s">
        <v>3519</v>
      </c>
      <c r="N752" t="s">
        <v>394</v>
      </c>
    </row>
    <row r="753" spans="1:14" ht="11.25" customHeight="1">
      <c r="A753" s="1753" t="s">
        <v>2199</v>
      </c>
      <c r="B753" s="1753" t="s">
        <v>14</v>
      </c>
      <c r="C753" s="1753" t="s">
        <v>3234</v>
      </c>
      <c r="D753" s="1753" t="s">
        <v>3235</v>
      </c>
      <c r="E753" s="1753" t="s">
        <v>3236</v>
      </c>
      <c r="F753" s="1753" t="s">
        <v>2245</v>
      </c>
      <c r="G753" s="1753" t="s">
        <v>17</v>
      </c>
      <c r="H753" s="1753" t="s">
        <v>17</v>
      </c>
      <c r="I753" s="1753" t="s">
        <v>2246</v>
      </c>
      <c r="J753" t="s">
        <v>17</v>
      </c>
      <c r="K753" t="s">
        <v>3524</v>
      </c>
      <c r="L753" t="s">
        <v>3525</v>
      </c>
      <c r="M753" t="s">
        <v>3526</v>
      </c>
      <c r="N753" t="s">
        <v>394</v>
      </c>
    </row>
    <row r="754" spans="1:14" ht="11.25" customHeight="1">
      <c r="A754" s="1753" t="s">
        <v>2199</v>
      </c>
      <c r="B754" s="1753" t="s">
        <v>14</v>
      </c>
      <c r="C754" s="1753" t="s">
        <v>3527</v>
      </c>
      <c r="D754" s="1753" t="s">
        <v>3528</v>
      </c>
      <c r="E754" s="1753" t="s">
        <v>3529</v>
      </c>
      <c r="F754" s="1753" t="s">
        <v>2255</v>
      </c>
      <c r="G754" s="1753" t="s">
        <v>3530</v>
      </c>
      <c r="H754" s="1753" t="s">
        <v>17</v>
      </c>
      <c r="I754" s="1753" t="s">
        <v>2246</v>
      </c>
      <c r="J754" t="s">
        <v>17</v>
      </c>
      <c r="K754" t="s">
        <v>3517</v>
      </c>
      <c r="L754" t="s">
        <v>3518</v>
      </c>
      <c r="M754" t="s">
        <v>3519</v>
      </c>
      <c r="N754" t="s">
        <v>394</v>
      </c>
    </row>
    <row r="755" spans="1:14" ht="11.25" customHeight="1">
      <c r="A755" s="1753" t="s">
        <v>2199</v>
      </c>
      <c r="B755" s="1753" t="s">
        <v>14</v>
      </c>
      <c r="C755" s="1753" t="s">
        <v>3531</v>
      </c>
      <c r="D755" s="1753" t="s">
        <v>3532</v>
      </c>
      <c r="E755" s="1753" t="s">
        <v>3533</v>
      </c>
      <c r="F755" s="1753" t="s">
        <v>2548</v>
      </c>
      <c r="G755" s="1753" t="s">
        <v>17</v>
      </c>
      <c r="H755" s="1753" t="s">
        <v>17</v>
      </c>
      <c r="I755" s="1753" t="s">
        <v>2330</v>
      </c>
      <c r="J755" t="s">
        <v>17</v>
      </c>
      <c r="K755" t="s">
        <v>3534</v>
      </c>
      <c r="L755" t="s">
        <v>3535</v>
      </c>
      <c r="M755" t="s">
        <v>3536</v>
      </c>
      <c r="N755" t="s">
        <v>394</v>
      </c>
    </row>
    <row r="756" spans="1:14" ht="11.25" customHeight="1">
      <c r="A756" s="1753" t="s">
        <v>2199</v>
      </c>
      <c r="B756" s="1753" t="s">
        <v>14</v>
      </c>
      <c r="C756" s="1753" t="s">
        <v>3250</v>
      </c>
      <c r="D756" s="1753" t="s">
        <v>3251</v>
      </c>
      <c r="E756" s="1753" t="s">
        <v>3252</v>
      </c>
      <c r="F756" s="1753" t="s">
        <v>2670</v>
      </c>
      <c r="G756" s="1753" t="s">
        <v>17</v>
      </c>
      <c r="H756" s="1753" t="s">
        <v>17</v>
      </c>
      <c r="I756" s="1753" t="s">
        <v>2469</v>
      </c>
      <c r="J756" t="s">
        <v>17</v>
      </c>
      <c r="K756" t="s">
        <v>3537</v>
      </c>
      <c r="L756" t="s">
        <v>3538</v>
      </c>
      <c r="M756" t="s">
        <v>3539</v>
      </c>
      <c r="N756" t="s">
        <v>394</v>
      </c>
    </row>
    <row r="757" spans="1:14" ht="11.25" customHeight="1">
      <c r="A757" s="1753" t="s">
        <v>2199</v>
      </c>
      <c r="B757" s="1753" t="s">
        <v>14</v>
      </c>
      <c r="C757" s="1753" t="s">
        <v>3253</v>
      </c>
      <c r="D757" s="1753" t="s">
        <v>3254</v>
      </c>
      <c r="E757" s="1753" t="s">
        <v>3255</v>
      </c>
      <c r="F757" s="1753" t="s">
        <v>2457</v>
      </c>
      <c r="G757" s="1753" t="s">
        <v>3256</v>
      </c>
      <c r="H757" s="1753" t="s">
        <v>17</v>
      </c>
      <c r="I757" s="1753" t="s">
        <v>2330</v>
      </c>
      <c r="J757" t="s">
        <v>17</v>
      </c>
      <c r="K757" t="s">
        <v>3537</v>
      </c>
      <c r="L757" t="s">
        <v>3538</v>
      </c>
      <c r="M757" t="s">
        <v>3539</v>
      </c>
      <c r="N757" t="s">
        <v>394</v>
      </c>
    </row>
    <row r="758" spans="1:14" ht="11.25" customHeight="1">
      <c r="A758" s="1753" t="s">
        <v>2199</v>
      </c>
      <c r="B758" s="1753" t="s">
        <v>14</v>
      </c>
      <c r="C758" s="1753" t="s">
        <v>2417</v>
      </c>
      <c r="D758" s="1753" t="s">
        <v>2418</v>
      </c>
      <c r="E758" s="1753" t="s">
        <v>2419</v>
      </c>
      <c r="F758" s="1753" t="s">
        <v>2420</v>
      </c>
      <c r="G758" s="1753" t="s">
        <v>17</v>
      </c>
      <c r="H758" s="1753" t="s">
        <v>17</v>
      </c>
      <c r="I758" s="1753" t="s">
        <v>2330</v>
      </c>
      <c r="J758" t="s">
        <v>17</v>
      </c>
      <c r="K758" t="s">
        <v>3517</v>
      </c>
      <c r="L758" t="s">
        <v>3518</v>
      </c>
      <c r="M758" t="s">
        <v>3519</v>
      </c>
      <c r="N758" t="s">
        <v>394</v>
      </c>
    </row>
    <row r="759" spans="1:14" ht="11.25" customHeight="1">
      <c r="A759" s="1753" t="s">
        <v>2199</v>
      </c>
      <c r="B759" s="1753" t="s">
        <v>14</v>
      </c>
      <c r="C759" s="1753" t="s">
        <v>3257</v>
      </c>
      <c r="D759" s="1753" t="s">
        <v>3258</v>
      </c>
      <c r="E759" s="1753" t="s">
        <v>3259</v>
      </c>
      <c r="F759" s="1753" t="s">
        <v>2603</v>
      </c>
      <c r="G759" s="1753" t="s">
        <v>17</v>
      </c>
      <c r="H759" s="1753" t="s">
        <v>17</v>
      </c>
      <c r="I759" s="1753" t="s">
        <v>2330</v>
      </c>
      <c r="J759" t="s">
        <v>17</v>
      </c>
      <c r="K759" t="s">
        <v>3517</v>
      </c>
      <c r="L759" t="s">
        <v>3518</v>
      </c>
      <c r="M759" t="s">
        <v>3519</v>
      </c>
      <c r="N759" t="s">
        <v>394</v>
      </c>
    </row>
    <row r="760" spans="1:14" ht="11.25" customHeight="1">
      <c r="A760" s="1753" t="s">
        <v>2199</v>
      </c>
      <c r="B760" s="1753" t="s">
        <v>14</v>
      </c>
      <c r="C760" s="1753" t="s">
        <v>2429</v>
      </c>
      <c r="D760" s="1753" t="s">
        <v>2430</v>
      </c>
      <c r="E760" s="1753" t="s">
        <v>2431</v>
      </c>
      <c r="F760" s="1753" t="s">
        <v>2432</v>
      </c>
      <c r="G760" s="1753" t="s">
        <v>17</v>
      </c>
      <c r="H760" s="1753" t="s">
        <v>17</v>
      </c>
      <c r="I760" s="1753" t="s">
        <v>2246</v>
      </c>
      <c r="J760" t="s">
        <v>17</v>
      </c>
      <c r="K760" t="s">
        <v>3537</v>
      </c>
      <c r="L760" t="s">
        <v>3538</v>
      </c>
      <c r="M760" t="s">
        <v>3539</v>
      </c>
      <c r="N760" t="s">
        <v>394</v>
      </c>
    </row>
    <row r="761" spans="1:14" ht="11.25" customHeight="1">
      <c r="A761" s="1753" t="s">
        <v>2199</v>
      </c>
      <c r="B761" s="1753" t="s">
        <v>14</v>
      </c>
      <c r="C761" s="1753" t="s">
        <v>2441</v>
      </c>
      <c r="D761" s="1753" t="s">
        <v>2442</v>
      </c>
      <c r="E761" s="1753" t="s">
        <v>2443</v>
      </c>
      <c r="F761" s="1753" t="s">
        <v>2268</v>
      </c>
      <c r="G761" s="1753" t="s">
        <v>17</v>
      </c>
      <c r="H761" s="1753" t="s">
        <v>17</v>
      </c>
      <c r="I761" s="1753" t="s">
        <v>2444</v>
      </c>
      <c r="J761" t="s">
        <v>17</v>
      </c>
      <c r="K761" t="s">
        <v>3537</v>
      </c>
      <c r="L761" t="s">
        <v>3538</v>
      </c>
      <c r="M761" t="s">
        <v>3539</v>
      </c>
      <c r="N761" t="s">
        <v>394</v>
      </c>
    </row>
    <row r="762" spans="1:14" ht="11.25" customHeight="1">
      <c r="A762" s="1753" t="s">
        <v>2199</v>
      </c>
      <c r="B762" s="1753" t="s">
        <v>14</v>
      </c>
      <c r="C762" s="1753" t="s">
        <v>2448</v>
      </c>
      <c r="D762" s="1753" t="s">
        <v>2449</v>
      </c>
      <c r="E762" s="1753" t="s">
        <v>2450</v>
      </c>
      <c r="F762" s="1753" t="s">
        <v>2451</v>
      </c>
      <c r="G762" s="1753" t="s">
        <v>17</v>
      </c>
      <c r="H762" s="1753" t="s">
        <v>17</v>
      </c>
      <c r="I762" s="1753" t="s">
        <v>2453</v>
      </c>
      <c r="J762" t="s">
        <v>17</v>
      </c>
      <c r="K762" t="s">
        <v>3517</v>
      </c>
      <c r="L762" t="s">
        <v>3518</v>
      </c>
      <c r="M762" t="s">
        <v>3519</v>
      </c>
      <c r="N762" t="s">
        <v>394</v>
      </c>
    </row>
    <row r="763" spans="1:14" ht="11.25" customHeight="1">
      <c r="A763" s="1753" t="s">
        <v>2199</v>
      </c>
      <c r="B763" s="1753" t="s">
        <v>14</v>
      </c>
      <c r="C763" s="1753" t="s">
        <v>2448</v>
      </c>
      <c r="D763" s="1753" t="s">
        <v>2449</v>
      </c>
      <c r="E763" s="1753" t="s">
        <v>2450</v>
      </c>
      <c r="F763" s="1753" t="s">
        <v>2451</v>
      </c>
      <c r="G763" s="1753" t="s">
        <v>17</v>
      </c>
      <c r="H763" s="1753" t="s">
        <v>17</v>
      </c>
      <c r="I763" s="1753" t="s">
        <v>2330</v>
      </c>
      <c r="J763" t="s">
        <v>17</v>
      </c>
      <c r="K763" t="s">
        <v>3517</v>
      </c>
      <c r="L763" t="s">
        <v>3518</v>
      </c>
      <c r="M763" t="s">
        <v>3519</v>
      </c>
      <c r="N763" t="s">
        <v>394</v>
      </c>
    </row>
    <row r="764" spans="1:14" ht="11.25" customHeight="1">
      <c r="A764" s="1753" t="s">
        <v>2199</v>
      </c>
      <c r="B764" s="1753" t="s">
        <v>14</v>
      </c>
      <c r="C764" s="1753" t="s">
        <v>3261</v>
      </c>
      <c r="D764" s="1753" t="s">
        <v>3262</v>
      </c>
      <c r="E764" s="1753" t="s">
        <v>3263</v>
      </c>
      <c r="F764" s="1753" t="s">
        <v>2457</v>
      </c>
      <c r="G764" s="1753" t="s">
        <v>17</v>
      </c>
      <c r="H764" s="1753" t="s">
        <v>17</v>
      </c>
      <c r="I764" s="1753" t="s">
        <v>2469</v>
      </c>
      <c r="J764" t="s">
        <v>17</v>
      </c>
      <c r="K764" t="s">
        <v>3537</v>
      </c>
      <c r="L764" t="s">
        <v>3538</v>
      </c>
      <c r="M764" t="s">
        <v>3539</v>
      </c>
      <c r="N764" t="s">
        <v>394</v>
      </c>
    </row>
    <row r="765" spans="1:14" ht="11.25" customHeight="1">
      <c r="A765" s="1753" t="s">
        <v>2199</v>
      </c>
      <c r="B765" s="1753" t="s">
        <v>14</v>
      </c>
      <c r="C765" s="1753" t="s">
        <v>3540</v>
      </c>
      <c r="D765" s="1753" t="s">
        <v>3541</v>
      </c>
      <c r="E765" s="1753" t="s">
        <v>3542</v>
      </c>
      <c r="F765" s="1753" t="s">
        <v>1425</v>
      </c>
      <c r="G765" s="1753" t="s">
        <v>17</v>
      </c>
      <c r="H765" s="1753" t="s">
        <v>17</v>
      </c>
      <c r="I765" s="1753" t="s">
        <v>2330</v>
      </c>
      <c r="J765" t="s">
        <v>17</v>
      </c>
      <c r="K765" t="s">
        <v>3537</v>
      </c>
      <c r="L765" t="s">
        <v>3538</v>
      </c>
      <c r="M765" t="s">
        <v>3539</v>
      </c>
      <c r="N765" t="s">
        <v>394</v>
      </c>
    </row>
    <row r="766" spans="1:14" ht="11.25" customHeight="1">
      <c r="A766" s="1753" t="s">
        <v>2199</v>
      </c>
      <c r="B766" s="1753" t="s">
        <v>14</v>
      </c>
      <c r="C766" s="1753" t="s">
        <v>3264</v>
      </c>
      <c r="D766" s="1753" t="s">
        <v>3265</v>
      </c>
      <c r="E766" s="1753" t="s">
        <v>3266</v>
      </c>
      <c r="F766" s="1753" t="s">
        <v>2670</v>
      </c>
      <c r="G766" s="1753" t="s">
        <v>17</v>
      </c>
      <c r="H766" s="1753" t="s">
        <v>17</v>
      </c>
      <c r="I766" s="1753" t="s">
        <v>2452</v>
      </c>
      <c r="J766" t="s">
        <v>17</v>
      </c>
      <c r="K766" t="s">
        <v>3517</v>
      </c>
      <c r="L766" t="s">
        <v>3518</v>
      </c>
      <c r="M766" t="s">
        <v>3519</v>
      </c>
      <c r="N766" t="s">
        <v>394</v>
      </c>
    </row>
    <row r="767" spans="1:14" ht="11.25" customHeight="1">
      <c r="A767" s="1753" t="s">
        <v>2199</v>
      </c>
      <c r="B767" s="1753" t="s">
        <v>14</v>
      </c>
      <c r="C767" s="1753" t="s">
        <v>2503</v>
      </c>
      <c r="D767" s="1753" t="s">
        <v>2504</v>
      </c>
      <c r="E767" s="1753" t="s">
        <v>2505</v>
      </c>
      <c r="F767" s="1753" t="s">
        <v>2506</v>
      </c>
      <c r="G767" s="1753" t="s">
        <v>17</v>
      </c>
      <c r="H767" s="1753" t="s">
        <v>17</v>
      </c>
      <c r="I767" s="1753" t="s">
        <v>2246</v>
      </c>
      <c r="J767" t="s">
        <v>17</v>
      </c>
      <c r="K767" t="s">
        <v>3517</v>
      </c>
      <c r="L767" t="s">
        <v>3518</v>
      </c>
      <c r="M767" t="s">
        <v>3519</v>
      </c>
      <c r="N767" t="s">
        <v>394</v>
      </c>
    </row>
    <row r="768" spans="1:14" ht="11.25" customHeight="1">
      <c r="A768" s="1753" t="s">
        <v>2199</v>
      </c>
      <c r="B768" s="1753" t="s">
        <v>14</v>
      </c>
      <c r="C768" s="1753" t="s">
        <v>3289</v>
      </c>
      <c r="D768" s="1753" t="s">
        <v>3284</v>
      </c>
      <c r="E768" s="1753" t="s">
        <v>3290</v>
      </c>
      <c r="F768" s="1753" t="s">
        <v>3291</v>
      </c>
      <c r="G768" s="1753" t="s">
        <v>17</v>
      </c>
      <c r="H768" s="1753" t="s">
        <v>17</v>
      </c>
      <c r="I768" s="1753" t="s">
        <v>2452</v>
      </c>
      <c r="J768" t="s">
        <v>17</v>
      </c>
      <c r="K768" t="s">
        <v>3517</v>
      </c>
      <c r="L768" t="s">
        <v>3518</v>
      </c>
      <c r="M768" t="s">
        <v>3519</v>
      </c>
      <c r="N768" t="s">
        <v>394</v>
      </c>
    </row>
    <row r="769" spans="1:14" ht="11.25" customHeight="1">
      <c r="A769" s="1753" t="s">
        <v>2199</v>
      </c>
      <c r="B769" s="1753" t="s">
        <v>14</v>
      </c>
      <c r="C769" s="1753" t="s">
        <v>3543</v>
      </c>
      <c r="D769" s="1753" t="s">
        <v>3544</v>
      </c>
      <c r="E769" s="1753" t="s">
        <v>3545</v>
      </c>
      <c r="F769" s="1753" t="s">
        <v>2380</v>
      </c>
      <c r="G769" s="1753" t="s">
        <v>17</v>
      </c>
      <c r="H769" s="1753" t="s">
        <v>17</v>
      </c>
      <c r="I769" s="1753" t="s">
        <v>3546</v>
      </c>
      <c r="J769" t="s">
        <v>17</v>
      </c>
      <c r="K769" t="s">
        <v>3517</v>
      </c>
      <c r="L769" t="s">
        <v>3518</v>
      </c>
      <c r="M769" t="s">
        <v>3519</v>
      </c>
      <c r="N769" t="s">
        <v>394</v>
      </c>
    </row>
    <row r="770" spans="1:14" ht="11.25" customHeight="1">
      <c r="A770" s="1753" t="s">
        <v>2199</v>
      </c>
      <c r="B770" s="1753" t="s">
        <v>14</v>
      </c>
      <c r="C770" s="1753" t="s">
        <v>3292</v>
      </c>
      <c r="D770" s="1753" t="s">
        <v>3293</v>
      </c>
      <c r="E770" s="1753" t="s">
        <v>3294</v>
      </c>
      <c r="F770" s="1753" t="s">
        <v>2522</v>
      </c>
      <c r="G770" s="1753" t="s">
        <v>17</v>
      </c>
      <c r="H770" s="1753" t="s">
        <v>17</v>
      </c>
      <c r="I770" s="1753" t="s">
        <v>2246</v>
      </c>
      <c r="J770" t="s">
        <v>17</v>
      </c>
      <c r="K770" t="s">
        <v>3517</v>
      </c>
      <c r="L770" t="s">
        <v>3518</v>
      </c>
      <c r="M770" t="s">
        <v>3519</v>
      </c>
      <c r="N770" t="s">
        <v>394</v>
      </c>
    </row>
    <row r="771" spans="1:14" ht="11.25" customHeight="1">
      <c r="A771" s="1753" t="s">
        <v>2199</v>
      </c>
      <c r="B771" s="1753" t="s">
        <v>14</v>
      </c>
      <c r="C771" s="1753" t="s">
        <v>2511</v>
      </c>
      <c r="D771" s="1753" t="s">
        <v>2512</v>
      </c>
      <c r="E771" s="1753" t="s">
        <v>2513</v>
      </c>
      <c r="F771" s="1753" t="s">
        <v>2306</v>
      </c>
      <c r="G771" s="1753" t="s">
        <v>17</v>
      </c>
      <c r="H771" s="1753" t="s">
        <v>17</v>
      </c>
      <c r="I771" s="1753" t="s">
        <v>3161</v>
      </c>
      <c r="J771" t="s">
        <v>17</v>
      </c>
      <c r="K771" t="s">
        <v>3517</v>
      </c>
      <c r="L771" t="s">
        <v>3518</v>
      </c>
      <c r="M771" t="s">
        <v>3519</v>
      </c>
      <c r="N771" t="s">
        <v>394</v>
      </c>
    </row>
    <row r="772" spans="1:14" ht="11.25" customHeight="1">
      <c r="A772" s="1753" t="s">
        <v>2199</v>
      </c>
      <c r="B772" s="1753" t="s">
        <v>14</v>
      </c>
      <c r="C772" s="1753" t="s">
        <v>2515</v>
      </c>
      <c r="D772" s="1753" t="s">
        <v>2516</v>
      </c>
      <c r="E772" s="1753" t="s">
        <v>2517</v>
      </c>
      <c r="F772" s="1753" t="s">
        <v>2380</v>
      </c>
      <c r="G772" s="1753" t="s">
        <v>17</v>
      </c>
      <c r="H772" s="1753" t="s">
        <v>17</v>
      </c>
      <c r="I772" s="1753" t="s">
        <v>2239</v>
      </c>
      <c r="J772" t="s">
        <v>17</v>
      </c>
      <c r="K772" t="s">
        <v>3534</v>
      </c>
      <c r="L772" t="s">
        <v>3535</v>
      </c>
      <c r="M772" t="s">
        <v>3536</v>
      </c>
      <c r="N772" t="s">
        <v>394</v>
      </c>
    </row>
    <row r="773" spans="1:14" ht="11.25" customHeight="1">
      <c r="A773" s="1753" t="s">
        <v>2199</v>
      </c>
      <c r="B773" s="1753" t="s">
        <v>14</v>
      </c>
      <c r="C773" s="1753" t="s">
        <v>3547</v>
      </c>
      <c r="D773" s="1753" t="s">
        <v>3548</v>
      </c>
      <c r="E773" s="1753" t="s">
        <v>3549</v>
      </c>
      <c r="F773" s="1753" t="s">
        <v>3067</v>
      </c>
      <c r="G773" s="1753" t="s">
        <v>17</v>
      </c>
      <c r="H773" s="1753" t="s">
        <v>17</v>
      </c>
      <c r="I773" s="1753" t="s">
        <v>3550</v>
      </c>
      <c r="J773" t="s">
        <v>17</v>
      </c>
      <c r="K773" t="s">
        <v>3517</v>
      </c>
      <c r="L773" t="s">
        <v>3518</v>
      </c>
      <c r="M773" t="s">
        <v>3519</v>
      </c>
      <c r="N773" t="s">
        <v>394</v>
      </c>
    </row>
    <row r="774" spans="1:14" ht="11.25" customHeight="1">
      <c r="A774" s="1753" t="s">
        <v>2199</v>
      </c>
      <c r="B774" s="1753" t="s">
        <v>14</v>
      </c>
      <c r="C774" s="1753" t="s">
        <v>2523</v>
      </c>
      <c r="D774" s="1753" t="s">
        <v>2524</v>
      </c>
      <c r="E774" s="1753" t="s">
        <v>2525</v>
      </c>
      <c r="F774" s="1753" t="s">
        <v>2268</v>
      </c>
      <c r="G774" s="1753" t="s">
        <v>17</v>
      </c>
      <c r="H774" s="1753" t="s">
        <v>17</v>
      </c>
      <c r="I774" s="1753" t="s">
        <v>2452</v>
      </c>
      <c r="J774" t="s">
        <v>17</v>
      </c>
      <c r="K774" t="s">
        <v>3517</v>
      </c>
      <c r="L774" t="s">
        <v>3518</v>
      </c>
      <c r="M774" t="s">
        <v>3519</v>
      </c>
      <c r="N774" t="s">
        <v>394</v>
      </c>
    </row>
    <row r="775" spans="1:14" ht="11.25" customHeight="1">
      <c r="A775" s="1753" t="s">
        <v>2199</v>
      </c>
      <c r="B775" s="1753" t="s">
        <v>14</v>
      </c>
      <c r="C775" s="1753" t="s">
        <v>2526</v>
      </c>
      <c r="D775" s="1753" t="s">
        <v>2527</v>
      </c>
      <c r="E775" s="1753" t="s">
        <v>2528</v>
      </c>
      <c r="F775" s="1753" t="s">
        <v>2370</v>
      </c>
      <c r="G775" s="1753" t="s">
        <v>17</v>
      </c>
      <c r="H775" s="1753" t="s">
        <v>17</v>
      </c>
      <c r="I775" s="1753" t="s">
        <v>2452</v>
      </c>
      <c r="J775" t="s">
        <v>17</v>
      </c>
      <c r="K775" t="s">
        <v>3517</v>
      </c>
      <c r="L775" t="s">
        <v>3518</v>
      </c>
      <c r="M775" t="s">
        <v>3519</v>
      </c>
      <c r="N775" t="s">
        <v>394</v>
      </c>
    </row>
    <row r="776" spans="1:14" ht="11.25" customHeight="1">
      <c r="A776" s="1753" t="s">
        <v>2199</v>
      </c>
      <c r="B776" s="1753" t="s">
        <v>14</v>
      </c>
      <c r="C776" s="1753" t="s">
        <v>2529</v>
      </c>
      <c r="D776" s="1753" t="s">
        <v>2530</v>
      </c>
      <c r="E776" s="1753" t="s">
        <v>2531</v>
      </c>
      <c r="F776" s="1753" t="s">
        <v>2522</v>
      </c>
      <c r="G776" s="1753" t="s">
        <v>17</v>
      </c>
      <c r="H776" s="1753" t="s">
        <v>17</v>
      </c>
      <c r="I776" s="1753" t="s">
        <v>2246</v>
      </c>
      <c r="J776" t="s">
        <v>17</v>
      </c>
      <c r="K776" t="s">
        <v>3517</v>
      </c>
      <c r="L776" t="s">
        <v>3518</v>
      </c>
      <c r="M776" t="s">
        <v>3519</v>
      </c>
      <c r="N776" t="s">
        <v>394</v>
      </c>
    </row>
    <row r="777" spans="1:14" ht="11.25" customHeight="1">
      <c r="A777" s="1753" t="s">
        <v>2199</v>
      </c>
      <c r="B777" s="1753" t="s">
        <v>14</v>
      </c>
      <c r="C777" s="1753" t="s">
        <v>2536</v>
      </c>
      <c r="D777" s="1753" t="s">
        <v>2537</v>
      </c>
      <c r="E777" s="1753" t="s">
        <v>2538</v>
      </c>
      <c r="F777" s="1753" t="s">
        <v>2539</v>
      </c>
      <c r="G777" s="1753" t="s">
        <v>2540</v>
      </c>
      <c r="H777" s="1753" t="s">
        <v>17</v>
      </c>
      <c r="I777" s="1753" t="s">
        <v>2518</v>
      </c>
      <c r="J777" t="s">
        <v>17</v>
      </c>
      <c r="K777" t="s">
        <v>3517</v>
      </c>
      <c r="L777" t="s">
        <v>3518</v>
      </c>
      <c r="M777" t="s">
        <v>3519</v>
      </c>
      <c r="N777" t="s">
        <v>394</v>
      </c>
    </row>
    <row r="778" spans="1:14" ht="11.25" customHeight="1">
      <c r="A778" s="1753" t="s">
        <v>2199</v>
      </c>
      <c r="B778" s="1753" t="s">
        <v>14</v>
      </c>
      <c r="C778" s="1753" t="s">
        <v>3297</v>
      </c>
      <c r="D778" s="1753" t="s">
        <v>3298</v>
      </c>
      <c r="E778" s="1753" t="s">
        <v>3299</v>
      </c>
      <c r="F778" s="1753" t="s">
        <v>3300</v>
      </c>
      <c r="G778" s="1753" t="s">
        <v>3301</v>
      </c>
      <c r="H778" s="1753" t="s">
        <v>17</v>
      </c>
      <c r="I778" s="1753" t="s">
        <v>3551</v>
      </c>
      <c r="J778" t="s">
        <v>3552</v>
      </c>
      <c r="K778" t="s">
        <v>3517</v>
      </c>
      <c r="L778" t="s">
        <v>3518</v>
      </c>
      <c r="M778" t="s">
        <v>3519</v>
      </c>
      <c r="N778" t="s">
        <v>394</v>
      </c>
    </row>
    <row r="779" spans="1:14" ht="11.25" customHeight="1">
      <c r="A779" s="1753" t="s">
        <v>2199</v>
      </c>
      <c r="B779" s="1753" t="s">
        <v>14</v>
      </c>
      <c r="C779" s="1753" t="s">
        <v>3303</v>
      </c>
      <c r="D779" s="1753" t="s">
        <v>3304</v>
      </c>
      <c r="E779" s="1753" t="s">
        <v>3305</v>
      </c>
      <c r="F779" s="1753" t="s">
        <v>2457</v>
      </c>
      <c r="G779" s="1753" t="s">
        <v>17</v>
      </c>
      <c r="H779" s="1753" t="s">
        <v>17</v>
      </c>
      <c r="I779" s="1753" t="s">
        <v>2330</v>
      </c>
      <c r="J779" t="s">
        <v>17</v>
      </c>
      <c r="K779" t="s">
        <v>3524</v>
      </c>
      <c r="L779" t="s">
        <v>3525</v>
      </c>
      <c r="M779" t="s">
        <v>3526</v>
      </c>
      <c r="N779" t="s">
        <v>394</v>
      </c>
    </row>
    <row r="780" spans="1:14" ht="11.25" customHeight="1">
      <c r="A780" s="1753" t="s">
        <v>2199</v>
      </c>
      <c r="B780" s="1753" t="s">
        <v>14</v>
      </c>
      <c r="C780" s="1753" t="s">
        <v>3553</v>
      </c>
      <c r="D780" s="1753" t="s">
        <v>3554</v>
      </c>
      <c r="E780" s="1753" t="s">
        <v>3555</v>
      </c>
      <c r="F780" s="1753" t="s">
        <v>2589</v>
      </c>
      <c r="G780" s="1753" t="s">
        <v>17</v>
      </c>
      <c r="H780" s="1753" t="s">
        <v>17</v>
      </c>
      <c r="I780" s="1753" t="s">
        <v>2246</v>
      </c>
      <c r="J780" t="s">
        <v>17</v>
      </c>
      <c r="K780" t="s">
        <v>3517</v>
      </c>
      <c r="L780" t="s">
        <v>3556</v>
      </c>
      <c r="M780" t="s">
        <v>3557</v>
      </c>
      <c r="N780" t="s">
        <v>394</v>
      </c>
    </row>
    <row r="781" spans="1:14" ht="11.25" customHeight="1">
      <c r="A781" s="1753" t="s">
        <v>2199</v>
      </c>
      <c r="B781" s="1753" t="s">
        <v>14</v>
      </c>
      <c r="C781" s="1753" t="s">
        <v>3310</v>
      </c>
      <c r="D781" s="1753" t="s">
        <v>3311</v>
      </c>
      <c r="E781" s="1753" t="s">
        <v>3312</v>
      </c>
      <c r="F781" s="1753" t="s">
        <v>2746</v>
      </c>
      <c r="G781" s="1753" t="s">
        <v>17</v>
      </c>
      <c r="H781" s="1753" t="s">
        <v>17</v>
      </c>
      <c r="I781" s="1753" t="s">
        <v>2486</v>
      </c>
      <c r="J781" t="s">
        <v>17</v>
      </c>
      <c r="K781" t="s">
        <v>3537</v>
      </c>
      <c r="L781" t="s">
        <v>3558</v>
      </c>
      <c r="M781" t="s">
        <v>3559</v>
      </c>
      <c r="N781" t="s">
        <v>394</v>
      </c>
    </row>
    <row r="782" spans="1:14" ht="11.25" customHeight="1">
      <c r="A782" s="1753" t="s">
        <v>2199</v>
      </c>
      <c r="B782" s="1753" t="s">
        <v>14</v>
      </c>
      <c r="C782" s="1753" t="s">
        <v>2542</v>
      </c>
      <c r="D782" s="1753" t="s">
        <v>2543</v>
      </c>
      <c r="E782" s="1753" t="s">
        <v>2544</v>
      </c>
      <c r="F782" s="1753" t="s">
        <v>2245</v>
      </c>
      <c r="G782" s="1753" t="s">
        <v>17</v>
      </c>
      <c r="H782" s="1753" t="s">
        <v>17</v>
      </c>
      <c r="I782" s="1753" t="s">
        <v>2246</v>
      </c>
      <c r="J782" t="s">
        <v>17</v>
      </c>
      <c r="K782" t="s">
        <v>3537</v>
      </c>
      <c r="L782" t="s">
        <v>3538</v>
      </c>
      <c r="M782" t="s">
        <v>3539</v>
      </c>
      <c r="N782" t="s">
        <v>394</v>
      </c>
    </row>
    <row r="783" spans="1:14" ht="11.25" customHeight="1">
      <c r="A783" s="1753" t="s">
        <v>2199</v>
      </c>
      <c r="B783" s="1753" t="s">
        <v>14</v>
      </c>
      <c r="C783" s="1753" t="s">
        <v>2545</v>
      </c>
      <c r="D783" s="1753" t="s">
        <v>2546</v>
      </c>
      <c r="E783" s="1753" t="s">
        <v>2547</v>
      </c>
      <c r="F783" s="1753" t="s">
        <v>2548</v>
      </c>
      <c r="G783" s="1753" t="s">
        <v>17</v>
      </c>
      <c r="H783" s="1753" t="s">
        <v>17</v>
      </c>
      <c r="I783" s="1753" t="s">
        <v>2330</v>
      </c>
      <c r="J783" t="s">
        <v>17</v>
      </c>
      <c r="K783" t="s">
        <v>3517</v>
      </c>
      <c r="L783" t="s">
        <v>3518</v>
      </c>
      <c r="M783" t="s">
        <v>3519</v>
      </c>
      <c r="N783" t="s">
        <v>394</v>
      </c>
    </row>
    <row r="784" spans="1:14" ht="11.25" customHeight="1">
      <c r="A784" s="1753" t="s">
        <v>2199</v>
      </c>
      <c r="B784" s="1753" t="s">
        <v>14</v>
      </c>
      <c r="C784" s="1753" t="s">
        <v>2549</v>
      </c>
      <c r="D784" s="1753" t="s">
        <v>2550</v>
      </c>
      <c r="E784" s="1753" t="s">
        <v>2551</v>
      </c>
      <c r="F784" s="1753" t="s">
        <v>2552</v>
      </c>
      <c r="G784" s="1753" t="s">
        <v>17</v>
      </c>
      <c r="H784" s="1753" t="s">
        <v>17</v>
      </c>
      <c r="I784" s="1753" t="s">
        <v>2246</v>
      </c>
      <c r="J784" t="s">
        <v>17</v>
      </c>
      <c r="K784" t="s">
        <v>3517</v>
      </c>
      <c r="L784" t="s">
        <v>3518</v>
      </c>
      <c r="M784" t="s">
        <v>3519</v>
      </c>
      <c r="N784" t="s">
        <v>394</v>
      </c>
    </row>
    <row r="785" spans="1:14" ht="11.25" customHeight="1">
      <c r="A785" s="1753" t="s">
        <v>2199</v>
      </c>
      <c r="B785" s="1753" t="s">
        <v>14</v>
      </c>
      <c r="C785" s="1753" t="s">
        <v>3313</v>
      </c>
      <c r="D785" s="1753" t="s">
        <v>3314</v>
      </c>
      <c r="E785" s="1753" t="s">
        <v>3315</v>
      </c>
      <c r="F785" s="1753" t="s">
        <v>2255</v>
      </c>
      <c r="G785" s="1753" t="s">
        <v>17</v>
      </c>
      <c r="H785" s="1753" t="s">
        <v>17</v>
      </c>
      <c r="I785" s="1753" t="s">
        <v>2246</v>
      </c>
      <c r="J785" t="s">
        <v>17</v>
      </c>
      <c r="K785" t="s">
        <v>3517</v>
      </c>
      <c r="L785" t="s">
        <v>3518</v>
      </c>
      <c r="M785" t="s">
        <v>3519</v>
      </c>
      <c r="N785" t="s">
        <v>394</v>
      </c>
    </row>
    <row r="786" spans="1:14" ht="11.25" customHeight="1">
      <c r="A786" s="1753" t="s">
        <v>2199</v>
      </c>
      <c r="B786" s="1753" t="s">
        <v>14</v>
      </c>
      <c r="C786" s="1753" t="s">
        <v>3316</v>
      </c>
      <c r="D786" s="1753" t="s">
        <v>3317</v>
      </c>
      <c r="E786" s="1753" t="s">
        <v>3318</v>
      </c>
      <c r="F786" s="1753" t="s">
        <v>2922</v>
      </c>
      <c r="G786" s="1753" t="s">
        <v>17</v>
      </c>
      <c r="H786" s="1753" t="s">
        <v>17</v>
      </c>
      <c r="I786" s="1753" t="s">
        <v>2330</v>
      </c>
      <c r="J786" t="s">
        <v>17</v>
      </c>
      <c r="K786" t="s">
        <v>3537</v>
      </c>
      <c r="L786" t="s">
        <v>3558</v>
      </c>
      <c r="M786" t="s">
        <v>3559</v>
      </c>
      <c r="N786" t="s">
        <v>394</v>
      </c>
    </row>
    <row r="787" spans="1:14" ht="11.25" customHeight="1">
      <c r="A787" s="1753" t="s">
        <v>2199</v>
      </c>
      <c r="B787" s="1753" t="s">
        <v>14</v>
      </c>
      <c r="C787" s="1753" t="s">
        <v>3560</v>
      </c>
      <c r="D787" s="1753" t="s">
        <v>3561</v>
      </c>
      <c r="E787" s="1753" t="s">
        <v>3562</v>
      </c>
      <c r="F787" s="1753" t="s">
        <v>2351</v>
      </c>
      <c r="G787" s="1753" t="s">
        <v>17</v>
      </c>
      <c r="H787" s="1753" t="s">
        <v>17</v>
      </c>
      <c r="I787" s="1753" t="s">
        <v>2469</v>
      </c>
      <c r="J787" t="s">
        <v>17</v>
      </c>
      <c r="K787" t="s">
        <v>3524</v>
      </c>
      <c r="L787" t="s">
        <v>3525</v>
      </c>
      <c r="M787" t="s">
        <v>3526</v>
      </c>
      <c r="N787" t="s">
        <v>394</v>
      </c>
    </row>
    <row r="788" spans="1:14" ht="11.25" customHeight="1">
      <c r="A788" s="1753" t="s">
        <v>2199</v>
      </c>
      <c r="B788" s="1753" t="s">
        <v>14</v>
      </c>
      <c r="C788" s="1753" t="s">
        <v>2553</v>
      </c>
      <c r="D788" s="1753" t="s">
        <v>2554</v>
      </c>
      <c r="E788" s="1753" t="s">
        <v>2555</v>
      </c>
      <c r="F788" s="1753" t="s">
        <v>2556</v>
      </c>
      <c r="G788" s="1753" t="s">
        <v>17</v>
      </c>
      <c r="H788" s="1753" t="s">
        <v>17</v>
      </c>
      <c r="I788" s="1753" t="s">
        <v>2492</v>
      </c>
      <c r="J788" t="s">
        <v>17</v>
      </c>
      <c r="K788" t="s">
        <v>3537</v>
      </c>
      <c r="L788" t="s">
        <v>3538</v>
      </c>
      <c r="M788" t="s">
        <v>3539</v>
      </c>
      <c r="N788" t="s">
        <v>394</v>
      </c>
    </row>
    <row r="789" spans="1:14" ht="11.25" customHeight="1">
      <c r="A789" s="1753" t="s">
        <v>2199</v>
      </c>
      <c r="B789" s="1753" t="s">
        <v>14</v>
      </c>
      <c r="C789" s="1753" t="s">
        <v>3328</v>
      </c>
      <c r="D789" s="1753" t="s">
        <v>3329</v>
      </c>
      <c r="E789" s="1753" t="s">
        <v>3330</v>
      </c>
      <c r="F789" s="1753" t="s">
        <v>2432</v>
      </c>
      <c r="G789" s="1753" t="s">
        <v>17</v>
      </c>
      <c r="H789" s="1753" t="s">
        <v>17</v>
      </c>
      <c r="I789" s="1753" t="s">
        <v>2330</v>
      </c>
      <c r="J789" t="s">
        <v>17</v>
      </c>
      <c r="K789" t="s">
        <v>3517</v>
      </c>
      <c r="L789" t="s">
        <v>3518</v>
      </c>
      <c r="M789" t="s">
        <v>3519</v>
      </c>
      <c r="N789" t="s">
        <v>394</v>
      </c>
    </row>
    <row r="790" spans="1:14" ht="11.25" customHeight="1">
      <c r="A790" s="1753" t="s">
        <v>2199</v>
      </c>
      <c r="B790" s="1753" t="s">
        <v>14</v>
      </c>
      <c r="C790" s="1753" t="s">
        <v>2560</v>
      </c>
      <c r="D790" s="1753" t="s">
        <v>2561</v>
      </c>
      <c r="E790" s="1753" t="s">
        <v>2562</v>
      </c>
      <c r="F790" s="1753" t="s">
        <v>2264</v>
      </c>
      <c r="G790" s="1753" t="s">
        <v>17</v>
      </c>
      <c r="H790" s="1753" t="s">
        <v>17</v>
      </c>
      <c r="I790" s="1753" t="s">
        <v>3331</v>
      </c>
      <c r="J790" t="s">
        <v>17</v>
      </c>
      <c r="K790" t="s">
        <v>3517</v>
      </c>
      <c r="L790" t="s">
        <v>3518</v>
      </c>
      <c r="M790" t="s">
        <v>3519</v>
      </c>
      <c r="N790" t="s">
        <v>394</v>
      </c>
    </row>
    <row r="791" spans="1:14" ht="11.25" customHeight="1">
      <c r="A791" s="1753" t="s">
        <v>2199</v>
      </c>
      <c r="B791" s="1753" t="s">
        <v>14</v>
      </c>
      <c r="C791" s="1753" t="s">
        <v>3335</v>
      </c>
      <c r="D791" s="1753" t="s">
        <v>3336</v>
      </c>
      <c r="E791" s="1753" t="s">
        <v>3337</v>
      </c>
      <c r="F791" s="1753" t="s">
        <v>2603</v>
      </c>
      <c r="G791" s="1753" t="s">
        <v>17</v>
      </c>
      <c r="H791" s="1753" t="s">
        <v>17</v>
      </c>
      <c r="I791" s="1753" t="s">
        <v>2330</v>
      </c>
      <c r="J791" t="s">
        <v>17</v>
      </c>
      <c r="K791" t="s">
        <v>3537</v>
      </c>
      <c r="L791" t="s">
        <v>3538</v>
      </c>
      <c r="M791" t="s">
        <v>3539</v>
      </c>
      <c r="N791" t="s">
        <v>394</v>
      </c>
    </row>
    <row r="792" spans="1:14" ht="11.25" customHeight="1">
      <c r="A792" s="1753" t="s">
        <v>2199</v>
      </c>
      <c r="B792" s="1753" t="s">
        <v>14</v>
      </c>
      <c r="C792" s="1753" t="s">
        <v>3338</v>
      </c>
      <c r="D792" s="1753" t="s">
        <v>3339</v>
      </c>
      <c r="E792" s="1753" t="s">
        <v>3340</v>
      </c>
      <c r="F792" s="1753" t="s">
        <v>2351</v>
      </c>
      <c r="G792" s="1753" t="s">
        <v>17</v>
      </c>
      <c r="H792" s="1753" t="s">
        <v>17</v>
      </c>
      <c r="I792" s="1753" t="s">
        <v>2214</v>
      </c>
      <c r="J792" t="s">
        <v>17</v>
      </c>
      <c r="K792" t="s">
        <v>3517</v>
      </c>
      <c r="L792" t="s">
        <v>3518</v>
      </c>
      <c r="M792" t="s">
        <v>3519</v>
      </c>
      <c r="N792" t="s">
        <v>394</v>
      </c>
    </row>
    <row r="793" spans="1:14" ht="11.25" customHeight="1">
      <c r="A793" s="1753" t="s">
        <v>2199</v>
      </c>
      <c r="B793" s="1753" t="s">
        <v>14</v>
      </c>
      <c r="C793" s="1753" t="s">
        <v>3341</v>
      </c>
      <c r="D793" s="1753" t="s">
        <v>3342</v>
      </c>
      <c r="E793" s="1753" t="s">
        <v>3343</v>
      </c>
      <c r="F793" s="1753" t="s">
        <v>2732</v>
      </c>
      <c r="G793" s="1753" t="s">
        <v>17</v>
      </c>
      <c r="H793" s="1753" t="s">
        <v>17</v>
      </c>
      <c r="I793" s="1753" t="s">
        <v>2330</v>
      </c>
      <c r="J793" t="s">
        <v>17</v>
      </c>
      <c r="K793" t="s">
        <v>3517</v>
      </c>
      <c r="L793" t="s">
        <v>3518</v>
      </c>
      <c r="M793" t="s">
        <v>3519</v>
      </c>
      <c r="N793" t="s">
        <v>394</v>
      </c>
    </row>
    <row r="794" spans="1:14" ht="11.25" customHeight="1">
      <c r="A794" s="1753" t="s">
        <v>2199</v>
      </c>
      <c r="B794" s="1753" t="s">
        <v>14</v>
      </c>
      <c r="C794" s="1753" t="s">
        <v>3344</v>
      </c>
      <c r="D794" s="1753" t="s">
        <v>3345</v>
      </c>
      <c r="E794" s="1753" t="s">
        <v>3346</v>
      </c>
      <c r="F794" s="1753" t="s">
        <v>2622</v>
      </c>
      <c r="G794" s="1753" t="s">
        <v>17</v>
      </c>
      <c r="H794" s="1753" t="s">
        <v>17</v>
      </c>
      <c r="I794" s="1753" t="s">
        <v>2469</v>
      </c>
      <c r="J794" t="s">
        <v>17</v>
      </c>
      <c r="K794" t="s">
        <v>3517</v>
      </c>
      <c r="L794" t="s">
        <v>3518</v>
      </c>
      <c r="M794" t="s">
        <v>3519</v>
      </c>
      <c r="N794" t="s">
        <v>394</v>
      </c>
    </row>
    <row r="795" spans="1:14" ht="11.25" customHeight="1">
      <c r="A795" s="1753" t="s">
        <v>2199</v>
      </c>
      <c r="B795" s="1753" t="s">
        <v>14</v>
      </c>
      <c r="C795" s="1753" t="s">
        <v>2568</v>
      </c>
      <c r="D795" s="1753" t="s">
        <v>2569</v>
      </c>
      <c r="E795" s="1753" t="s">
        <v>2570</v>
      </c>
      <c r="F795" s="1753" t="s">
        <v>2548</v>
      </c>
      <c r="G795" s="1753" t="s">
        <v>17</v>
      </c>
      <c r="H795" s="1753" t="s">
        <v>17</v>
      </c>
      <c r="I795" s="1753" t="s">
        <v>2330</v>
      </c>
      <c r="J795" t="s">
        <v>17</v>
      </c>
      <c r="K795" t="s">
        <v>3537</v>
      </c>
      <c r="L795" t="s">
        <v>3538</v>
      </c>
      <c r="M795" t="s">
        <v>3539</v>
      </c>
      <c r="N795" t="s">
        <v>394</v>
      </c>
    </row>
    <row r="796" spans="1:14" ht="11.25" customHeight="1">
      <c r="A796" s="1753" t="s">
        <v>2199</v>
      </c>
      <c r="B796" s="1753" t="s">
        <v>14</v>
      </c>
      <c r="C796" s="1753" t="s">
        <v>2571</v>
      </c>
      <c r="D796" s="1753" t="s">
        <v>2572</v>
      </c>
      <c r="E796" s="1753" t="s">
        <v>2573</v>
      </c>
      <c r="F796" s="1753" t="s">
        <v>2539</v>
      </c>
      <c r="G796" s="1753" t="s">
        <v>17</v>
      </c>
      <c r="H796" s="1753" t="s">
        <v>17</v>
      </c>
      <c r="I796" s="1753" t="s">
        <v>2330</v>
      </c>
      <c r="J796" t="s">
        <v>17</v>
      </c>
      <c r="K796" t="s">
        <v>3517</v>
      </c>
      <c r="L796" t="s">
        <v>3518</v>
      </c>
      <c r="M796" t="s">
        <v>3519</v>
      </c>
      <c r="N796" t="s">
        <v>394</v>
      </c>
    </row>
    <row r="797" spans="1:14" ht="11.25" customHeight="1">
      <c r="A797" s="1753" t="s">
        <v>2199</v>
      </c>
      <c r="B797" s="1753" t="s">
        <v>14</v>
      </c>
      <c r="C797" s="1753" t="s">
        <v>2574</v>
      </c>
      <c r="D797" s="1753" t="s">
        <v>2575</v>
      </c>
      <c r="E797" s="1753" t="s">
        <v>2576</v>
      </c>
      <c r="F797" s="1753" t="s">
        <v>2539</v>
      </c>
      <c r="G797" s="1753" t="s">
        <v>17</v>
      </c>
      <c r="H797" s="1753" t="s">
        <v>17</v>
      </c>
      <c r="I797" s="1753" t="s">
        <v>2330</v>
      </c>
      <c r="J797" t="s">
        <v>17</v>
      </c>
      <c r="K797" t="s">
        <v>3517</v>
      </c>
      <c r="L797" t="s">
        <v>3518</v>
      </c>
      <c r="M797" t="s">
        <v>3519</v>
      </c>
      <c r="N797" t="s">
        <v>394</v>
      </c>
    </row>
    <row r="798" spans="1:14" ht="11.25" customHeight="1">
      <c r="A798" s="1753" t="s">
        <v>2199</v>
      </c>
      <c r="B798" s="1753" t="s">
        <v>14</v>
      </c>
      <c r="C798" s="1753" t="s">
        <v>2577</v>
      </c>
      <c r="D798" s="1753" t="s">
        <v>2578</v>
      </c>
      <c r="E798" s="1753" t="s">
        <v>2579</v>
      </c>
      <c r="F798" s="1753" t="s">
        <v>2539</v>
      </c>
      <c r="G798" s="1753" t="s">
        <v>17</v>
      </c>
      <c r="H798" s="1753" t="s">
        <v>17</v>
      </c>
      <c r="I798" s="1753" t="s">
        <v>2330</v>
      </c>
      <c r="J798" t="s">
        <v>17</v>
      </c>
      <c r="K798" t="s">
        <v>3517</v>
      </c>
      <c r="L798" t="s">
        <v>3518</v>
      </c>
      <c r="M798" t="s">
        <v>3519</v>
      </c>
      <c r="N798" t="s">
        <v>394</v>
      </c>
    </row>
    <row r="799" spans="1:14" ht="11.25" customHeight="1">
      <c r="A799" s="1753" t="s">
        <v>2199</v>
      </c>
      <c r="B799" s="1753" t="s">
        <v>14</v>
      </c>
      <c r="C799" s="1753" t="s">
        <v>2580</v>
      </c>
      <c r="D799" s="1753" t="s">
        <v>2581</v>
      </c>
      <c r="E799" s="1753" t="s">
        <v>2582</v>
      </c>
      <c r="F799" s="1753" t="s">
        <v>2539</v>
      </c>
      <c r="G799" s="1753" t="s">
        <v>17</v>
      </c>
      <c r="H799" s="1753" t="s">
        <v>17</v>
      </c>
      <c r="I799" s="1753" t="s">
        <v>2330</v>
      </c>
      <c r="J799" t="s">
        <v>17</v>
      </c>
      <c r="K799" t="s">
        <v>3517</v>
      </c>
      <c r="L799" t="s">
        <v>3518</v>
      </c>
      <c r="M799" t="s">
        <v>3519</v>
      </c>
      <c r="N799" t="s">
        <v>394</v>
      </c>
    </row>
    <row r="800" spans="1:14" ht="11.25" customHeight="1">
      <c r="A800" s="1753" t="s">
        <v>2199</v>
      </c>
      <c r="B800" s="1753" t="s">
        <v>14</v>
      </c>
      <c r="C800" s="1753" t="s">
        <v>3347</v>
      </c>
      <c r="D800" s="1753" t="s">
        <v>3348</v>
      </c>
      <c r="E800" s="1753" t="s">
        <v>3349</v>
      </c>
      <c r="F800" s="1753" t="s">
        <v>2539</v>
      </c>
      <c r="G800" s="1753" t="s">
        <v>17</v>
      </c>
      <c r="H800" s="1753" t="s">
        <v>17</v>
      </c>
      <c r="I800" s="1753" t="s">
        <v>2330</v>
      </c>
      <c r="J800" t="s">
        <v>17</v>
      </c>
      <c r="K800" t="s">
        <v>3517</v>
      </c>
      <c r="L800" t="s">
        <v>3518</v>
      </c>
      <c r="M800" t="s">
        <v>3519</v>
      </c>
      <c r="N800" t="s">
        <v>394</v>
      </c>
    </row>
    <row r="801" spans="1:14" ht="11.25" customHeight="1">
      <c r="A801" s="1753" t="s">
        <v>2199</v>
      </c>
      <c r="B801" s="1753" t="s">
        <v>14</v>
      </c>
      <c r="C801" s="1753" t="s">
        <v>2583</v>
      </c>
      <c r="D801" s="1753" t="s">
        <v>2584</v>
      </c>
      <c r="E801" s="1753" t="s">
        <v>2585</v>
      </c>
      <c r="F801" s="1753" t="s">
        <v>2539</v>
      </c>
      <c r="G801" s="1753" t="s">
        <v>17</v>
      </c>
      <c r="H801" s="1753" t="s">
        <v>17</v>
      </c>
      <c r="I801" s="1753" t="s">
        <v>2330</v>
      </c>
      <c r="J801" t="s">
        <v>17</v>
      </c>
      <c r="K801" t="s">
        <v>3517</v>
      </c>
      <c r="L801" t="s">
        <v>3518</v>
      </c>
      <c r="M801" t="s">
        <v>3519</v>
      </c>
      <c r="N801" t="s">
        <v>394</v>
      </c>
    </row>
    <row r="802" spans="1:14" ht="11.25" customHeight="1">
      <c r="A802" s="1753" t="s">
        <v>2199</v>
      </c>
      <c r="B802" s="1753" t="s">
        <v>14</v>
      </c>
      <c r="C802" s="1753" t="s">
        <v>2586</v>
      </c>
      <c r="D802" s="1753" t="s">
        <v>2587</v>
      </c>
      <c r="E802" s="1753" t="s">
        <v>2588</v>
      </c>
      <c r="F802" s="1753" t="s">
        <v>2589</v>
      </c>
      <c r="G802" s="1753" t="s">
        <v>17</v>
      </c>
      <c r="H802" s="1753" t="s">
        <v>17</v>
      </c>
      <c r="I802" s="1753" t="s">
        <v>2246</v>
      </c>
      <c r="J802" t="s">
        <v>17</v>
      </c>
      <c r="K802" t="s">
        <v>3517</v>
      </c>
      <c r="L802" t="s">
        <v>3518</v>
      </c>
      <c r="M802" t="s">
        <v>3519</v>
      </c>
      <c r="N802" t="s">
        <v>394</v>
      </c>
    </row>
    <row r="803" spans="1:14" ht="11.25" customHeight="1">
      <c r="A803" s="1753" t="s">
        <v>2199</v>
      </c>
      <c r="B803" s="1753" t="s">
        <v>14</v>
      </c>
      <c r="C803" s="1753" t="s">
        <v>2590</v>
      </c>
      <c r="D803" s="1753" t="s">
        <v>2591</v>
      </c>
      <c r="E803" s="1753" t="s">
        <v>2592</v>
      </c>
      <c r="F803" s="1753" t="s">
        <v>2539</v>
      </c>
      <c r="G803" s="1753" t="s">
        <v>17</v>
      </c>
      <c r="H803" s="1753" t="s">
        <v>17</v>
      </c>
      <c r="I803" s="1753" t="s">
        <v>2330</v>
      </c>
      <c r="J803" t="s">
        <v>17</v>
      </c>
      <c r="K803" t="s">
        <v>3517</v>
      </c>
      <c r="L803" t="s">
        <v>3518</v>
      </c>
      <c r="M803" t="s">
        <v>3519</v>
      </c>
      <c r="N803" t="s">
        <v>394</v>
      </c>
    </row>
    <row r="804" spans="1:14" ht="11.25" customHeight="1">
      <c r="A804" s="1753" t="s">
        <v>2199</v>
      </c>
      <c r="B804" s="1753" t="s">
        <v>14</v>
      </c>
      <c r="C804" s="1753" t="s">
        <v>3352</v>
      </c>
      <c r="D804" s="1753" t="s">
        <v>3353</v>
      </c>
      <c r="E804" s="1753" t="s">
        <v>3354</v>
      </c>
      <c r="F804" s="1753" t="s">
        <v>2539</v>
      </c>
      <c r="G804" s="1753" t="s">
        <v>17</v>
      </c>
      <c r="H804" s="1753" t="s">
        <v>17</v>
      </c>
      <c r="I804" s="1753" t="s">
        <v>2330</v>
      </c>
      <c r="J804" t="s">
        <v>17</v>
      </c>
      <c r="K804" t="s">
        <v>3517</v>
      </c>
      <c r="L804" t="s">
        <v>3518</v>
      </c>
      <c r="M804" t="s">
        <v>3519</v>
      </c>
      <c r="N804" t="s">
        <v>394</v>
      </c>
    </row>
    <row r="805" spans="1:14" ht="11.25" customHeight="1">
      <c r="A805" s="1753" t="s">
        <v>2199</v>
      </c>
      <c r="B805" s="1753" t="s">
        <v>14</v>
      </c>
      <c r="C805" s="1753" t="s">
        <v>2593</v>
      </c>
      <c r="D805" s="1753" t="s">
        <v>2594</v>
      </c>
      <c r="E805" s="1753" t="s">
        <v>2595</v>
      </c>
      <c r="F805" s="1753" t="s">
        <v>2596</v>
      </c>
      <c r="G805" s="1753" t="s">
        <v>17</v>
      </c>
      <c r="H805" s="1753" t="s">
        <v>17</v>
      </c>
      <c r="I805" s="1753" t="s">
        <v>2330</v>
      </c>
      <c r="J805" t="s">
        <v>17</v>
      </c>
      <c r="K805" t="s">
        <v>3517</v>
      </c>
      <c r="L805" t="s">
        <v>3518</v>
      </c>
      <c r="M805" t="s">
        <v>3519</v>
      </c>
      <c r="N805" t="s">
        <v>394</v>
      </c>
    </row>
    <row r="806" spans="1:14" ht="11.25" customHeight="1">
      <c r="A806" s="1753" t="s">
        <v>2199</v>
      </c>
      <c r="B806" s="1753" t="s">
        <v>14</v>
      </c>
      <c r="C806" s="1753" t="s">
        <v>2597</v>
      </c>
      <c r="D806" s="1753" t="s">
        <v>2598</v>
      </c>
      <c r="E806" s="1753" t="s">
        <v>2599</v>
      </c>
      <c r="F806" s="1753" t="s">
        <v>2404</v>
      </c>
      <c r="G806" s="1753" t="s">
        <v>17</v>
      </c>
      <c r="H806" s="1753" t="s">
        <v>17</v>
      </c>
      <c r="I806" s="1753" t="s">
        <v>2818</v>
      </c>
      <c r="J806" t="s">
        <v>17</v>
      </c>
      <c r="K806" t="s">
        <v>3517</v>
      </c>
      <c r="L806" t="s">
        <v>3518</v>
      </c>
      <c r="M806" t="s">
        <v>3519</v>
      </c>
      <c r="N806" t="s">
        <v>394</v>
      </c>
    </row>
    <row r="807" spans="1:14" ht="11.25" customHeight="1">
      <c r="A807" s="1753" t="s">
        <v>2199</v>
      </c>
      <c r="B807" s="1753" t="s">
        <v>14</v>
      </c>
      <c r="C807" s="1753" t="s">
        <v>2600</v>
      </c>
      <c r="D807" s="1753" t="s">
        <v>2601</v>
      </c>
      <c r="E807" s="1753" t="s">
        <v>2602</v>
      </c>
      <c r="F807" s="1753" t="s">
        <v>2603</v>
      </c>
      <c r="G807" s="1753" t="s">
        <v>17</v>
      </c>
      <c r="H807" s="1753" t="s">
        <v>17</v>
      </c>
      <c r="I807" s="1753" t="s">
        <v>2330</v>
      </c>
      <c r="J807" t="s">
        <v>17</v>
      </c>
      <c r="K807" t="s">
        <v>3517</v>
      </c>
      <c r="L807" t="s">
        <v>3518</v>
      </c>
      <c r="M807" t="s">
        <v>3519</v>
      </c>
      <c r="N807" t="s">
        <v>394</v>
      </c>
    </row>
    <row r="808" spans="1:14" ht="11.25" customHeight="1">
      <c r="A808" s="1753" t="s">
        <v>2199</v>
      </c>
      <c r="B808" s="1753" t="s">
        <v>14</v>
      </c>
      <c r="C808" s="1753" t="s">
        <v>2604</v>
      </c>
      <c r="D808" s="1753" t="s">
        <v>2605</v>
      </c>
      <c r="E808" s="1753" t="s">
        <v>2606</v>
      </c>
      <c r="F808" s="1753" t="s">
        <v>2245</v>
      </c>
      <c r="G808" s="1753" t="s">
        <v>17</v>
      </c>
      <c r="H808" s="1753" t="s">
        <v>17</v>
      </c>
      <c r="I808" s="1753" t="s">
        <v>2246</v>
      </c>
      <c r="J808" t="s">
        <v>17</v>
      </c>
      <c r="K808" t="s">
        <v>3517</v>
      </c>
      <c r="L808" t="s">
        <v>3518</v>
      </c>
      <c r="M808" t="s">
        <v>3519</v>
      </c>
      <c r="N808" t="s">
        <v>394</v>
      </c>
    </row>
    <row r="809" spans="1:14" ht="11.25" customHeight="1">
      <c r="A809" s="1753" t="s">
        <v>2199</v>
      </c>
      <c r="B809" s="1753" t="s">
        <v>14</v>
      </c>
      <c r="C809" s="1753" t="s">
        <v>3358</v>
      </c>
      <c r="D809" s="1753" t="s">
        <v>3359</v>
      </c>
      <c r="E809" s="1753" t="s">
        <v>3360</v>
      </c>
      <c r="F809" s="1753" t="s">
        <v>2639</v>
      </c>
      <c r="G809" s="1753" t="s">
        <v>17</v>
      </c>
      <c r="H809" s="1753" t="s">
        <v>17</v>
      </c>
      <c r="I809" s="1753" t="s">
        <v>2469</v>
      </c>
      <c r="J809" t="s">
        <v>17</v>
      </c>
      <c r="K809" t="s">
        <v>3524</v>
      </c>
      <c r="L809" t="s">
        <v>3525</v>
      </c>
      <c r="M809" t="s">
        <v>3526</v>
      </c>
      <c r="N809" t="s">
        <v>394</v>
      </c>
    </row>
    <row r="810" spans="1:14" ht="11.25" customHeight="1">
      <c r="A810" s="1753" t="s">
        <v>2199</v>
      </c>
      <c r="B810" s="1753" t="s">
        <v>14</v>
      </c>
      <c r="C810" s="1753" t="s">
        <v>2607</v>
      </c>
      <c r="D810" s="1753" t="s">
        <v>2608</v>
      </c>
      <c r="E810" s="1753" t="s">
        <v>2609</v>
      </c>
      <c r="F810" s="1753" t="s">
        <v>2603</v>
      </c>
      <c r="G810" s="1753" t="s">
        <v>17</v>
      </c>
      <c r="H810" s="1753" t="s">
        <v>17</v>
      </c>
      <c r="I810" s="1753" t="s">
        <v>2330</v>
      </c>
      <c r="J810" t="s">
        <v>17</v>
      </c>
      <c r="K810" t="s">
        <v>3537</v>
      </c>
      <c r="L810" t="s">
        <v>3538</v>
      </c>
      <c r="M810" t="s">
        <v>3539</v>
      </c>
      <c r="N810" t="s">
        <v>394</v>
      </c>
    </row>
    <row r="811" spans="1:14" ht="11.25" customHeight="1">
      <c r="A811" s="1753" t="s">
        <v>2199</v>
      </c>
      <c r="B811" s="1753" t="s">
        <v>14</v>
      </c>
      <c r="C811" s="1753" t="s">
        <v>3364</v>
      </c>
      <c r="D811" s="1753" t="s">
        <v>3365</v>
      </c>
      <c r="E811" s="1753" t="s">
        <v>3366</v>
      </c>
      <c r="F811" s="1753" t="s">
        <v>2408</v>
      </c>
      <c r="G811" s="1753" t="s">
        <v>17</v>
      </c>
      <c r="H811" s="1753" t="s">
        <v>17</v>
      </c>
      <c r="I811" s="1753" t="s">
        <v>2330</v>
      </c>
      <c r="J811" t="s">
        <v>17</v>
      </c>
      <c r="K811" t="s">
        <v>3537</v>
      </c>
      <c r="L811" t="s">
        <v>3558</v>
      </c>
      <c r="M811" t="s">
        <v>3559</v>
      </c>
      <c r="N811" t="s">
        <v>394</v>
      </c>
    </row>
    <row r="812" spans="1:14" ht="11.25" customHeight="1">
      <c r="A812" s="1753" t="s">
        <v>2199</v>
      </c>
      <c r="B812" s="1753" t="s">
        <v>14</v>
      </c>
      <c r="C812" s="1753" t="s">
        <v>2613</v>
      </c>
      <c r="D812" s="1753" t="s">
        <v>2614</v>
      </c>
      <c r="E812" s="1753" t="s">
        <v>2615</v>
      </c>
      <c r="F812" s="1753" t="s">
        <v>2245</v>
      </c>
      <c r="G812" s="1753" t="s">
        <v>17</v>
      </c>
      <c r="H812" s="1753" t="s">
        <v>17</v>
      </c>
      <c r="I812" s="1753" t="s">
        <v>2246</v>
      </c>
      <c r="J812" t="s">
        <v>17</v>
      </c>
      <c r="K812" t="s">
        <v>3517</v>
      </c>
      <c r="L812" t="s">
        <v>3518</v>
      </c>
      <c r="M812" t="s">
        <v>3519</v>
      </c>
      <c r="N812" t="s">
        <v>394</v>
      </c>
    </row>
    <row r="813" spans="1:14" ht="11.25" customHeight="1">
      <c r="A813" s="1753" t="s">
        <v>2199</v>
      </c>
      <c r="B813" s="1753" t="s">
        <v>14</v>
      </c>
      <c r="C813" s="1753" t="s">
        <v>3370</v>
      </c>
      <c r="D813" s="1753" t="s">
        <v>3371</v>
      </c>
      <c r="E813" s="1753" t="s">
        <v>3372</v>
      </c>
      <c r="F813" s="1753" t="s">
        <v>2603</v>
      </c>
      <c r="G813" s="1753" t="s">
        <v>17</v>
      </c>
      <c r="H813" s="1753" t="s">
        <v>17</v>
      </c>
      <c r="I813" s="1753" t="s">
        <v>2330</v>
      </c>
      <c r="J813" t="s">
        <v>17</v>
      </c>
      <c r="K813" t="s">
        <v>3537</v>
      </c>
      <c r="L813" t="s">
        <v>3538</v>
      </c>
      <c r="M813" t="s">
        <v>3539</v>
      </c>
      <c r="N813" t="s">
        <v>394</v>
      </c>
    </row>
    <row r="814" spans="1:14" ht="11.25" customHeight="1">
      <c r="A814" s="1753" t="s">
        <v>2199</v>
      </c>
      <c r="B814" s="1753" t="s">
        <v>14</v>
      </c>
      <c r="C814" s="1753" t="s">
        <v>2623</v>
      </c>
      <c r="D814" s="1753" t="s">
        <v>2624</v>
      </c>
      <c r="E814" s="1753" t="s">
        <v>2625</v>
      </c>
      <c r="F814" s="1753" t="s">
        <v>2420</v>
      </c>
      <c r="G814" s="1753" t="s">
        <v>17</v>
      </c>
      <c r="H814" s="1753" t="s">
        <v>17</v>
      </c>
      <c r="I814" s="1753" t="s">
        <v>2330</v>
      </c>
      <c r="J814" t="s">
        <v>17</v>
      </c>
      <c r="K814" t="s">
        <v>3537</v>
      </c>
      <c r="L814" t="s">
        <v>3538</v>
      </c>
      <c r="M814" t="s">
        <v>3539</v>
      </c>
      <c r="N814" t="s">
        <v>394</v>
      </c>
    </row>
    <row r="815" spans="1:14" ht="11.25" customHeight="1">
      <c r="A815" s="1753" t="s">
        <v>2199</v>
      </c>
      <c r="B815" s="1753" t="s">
        <v>14</v>
      </c>
      <c r="C815" s="1753" t="s">
        <v>3377</v>
      </c>
      <c r="D815" s="1753" t="s">
        <v>3378</v>
      </c>
      <c r="E815" s="1753" t="s">
        <v>3379</v>
      </c>
      <c r="F815" s="1753" t="s">
        <v>2416</v>
      </c>
      <c r="G815" s="1753" t="s">
        <v>17</v>
      </c>
      <c r="H815" s="1753" t="s">
        <v>17</v>
      </c>
      <c r="I815" s="1753" t="s">
        <v>2330</v>
      </c>
      <c r="J815" t="s">
        <v>17</v>
      </c>
      <c r="K815" t="s">
        <v>3537</v>
      </c>
      <c r="L815" t="s">
        <v>3538</v>
      </c>
      <c r="M815" t="s">
        <v>3539</v>
      </c>
      <c r="N815" t="s">
        <v>394</v>
      </c>
    </row>
    <row r="816" spans="1:14" ht="11.25" customHeight="1">
      <c r="A816" s="1753" t="s">
        <v>2199</v>
      </c>
      <c r="B816" s="1753" t="s">
        <v>14</v>
      </c>
      <c r="C816" s="1753" t="s">
        <v>2626</v>
      </c>
      <c r="D816" s="1753" t="s">
        <v>2627</v>
      </c>
      <c r="E816" s="1753" t="s">
        <v>2628</v>
      </c>
      <c r="F816" s="1753" t="s">
        <v>2539</v>
      </c>
      <c r="G816" s="1753" t="s">
        <v>17</v>
      </c>
      <c r="H816" s="1753" t="s">
        <v>17</v>
      </c>
      <c r="I816" s="1753" t="s">
        <v>2330</v>
      </c>
      <c r="J816" t="s">
        <v>17</v>
      </c>
      <c r="K816" t="s">
        <v>3517</v>
      </c>
      <c r="L816" t="s">
        <v>3518</v>
      </c>
      <c r="M816" t="s">
        <v>3519</v>
      </c>
      <c r="N816" t="s">
        <v>394</v>
      </c>
    </row>
    <row r="817" spans="1:14" ht="11.25" customHeight="1">
      <c r="A817" s="1753" t="s">
        <v>2199</v>
      </c>
      <c r="B817" s="1753" t="s">
        <v>14</v>
      </c>
      <c r="C817" s="1753" t="s">
        <v>2629</v>
      </c>
      <c r="D817" s="1753" t="s">
        <v>2630</v>
      </c>
      <c r="E817" s="1753" t="s">
        <v>2631</v>
      </c>
      <c r="F817" s="1753" t="s">
        <v>2632</v>
      </c>
      <c r="G817" s="1753" t="s">
        <v>17</v>
      </c>
      <c r="H817" s="1753" t="s">
        <v>17</v>
      </c>
      <c r="I817" s="1753" t="s">
        <v>2330</v>
      </c>
      <c r="J817" t="s">
        <v>17</v>
      </c>
      <c r="K817" t="s">
        <v>3517</v>
      </c>
      <c r="L817" t="s">
        <v>3518</v>
      </c>
      <c r="M817" t="s">
        <v>3519</v>
      </c>
      <c r="N817" t="s">
        <v>394</v>
      </c>
    </row>
    <row r="818" spans="1:14" ht="11.25" customHeight="1">
      <c r="A818" s="1753" t="s">
        <v>2199</v>
      </c>
      <c r="B818" s="1753" t="s">
        <v>14</v>
      </c>
      <c r="C818" s="1753" t="s">
        <v>2633</v>
      </c>
      <c r="D818" s="1753" t="s">
        <v>2634</v>
      </c>
      <c r="E818" s="1753" t="s">
        <v>2635</v>
      </c>
      <c r="F818" s="1753" t="s">
        <v>2255</v>
      </c>
      <c r="G818" s="1753" t="s">
        <v>17</v>
      </c>
      <c r="H818" s="1753" t="s">
        <v>17</v>
      </c>
      <c r="I818" s="1753" t="s">
        <v>2246</v>
      </c>
      <c r="J818" t="s">
        <v>17</v>
      </c>
      <c r="K818" t="s">
        <v>3517</v>
      </c>
      <c r="L818" t="s">
        <v>3518</v>
      </c>
      <c r="M818" t="s">
        <v>3519</v>
      </c>
      <c r="N818" t="s">
        <v>394</v>
      </c>
    </row>
    <row r="819" spans="1:14" ht="11.25" customHeight="1">
      <c r="A819" s="1753" t="s">
        <v>2199</v>
      </c>
      <c r="B819" s="1753" t="s">
        <v>14</v>
      </c>
      <c r="C819" s="1753" t="s">
        <v>2636</v>
      </c>
      <c r="D819" s="1753" t="s">
        <v>2637</v>
      </c>
      <c r="E819" s="1753" t="s">
        <v>2638</v>
      </c>
      <c r="F819" s="1753" t="s">
        <v>2639</v>
      </c>
      <c r="G819" s="1753" t="s">
        <v>17</v>
      </c>
      <c r="H819" s="1753" t="s">
        <v>17</v>
      </c>
      <c r="I819" s="1753" t="s">
        <v>2330</v>
      </c>
      <c r="J819" t="s">
        <v>17</v>
      </c>
      <c r="K819" t="s">
        <v>3517</v>
      </c>
      <c r="L819" t="s">
        <v>3518</v>
      </c>
      <c r="M819" t="s">
        <v>3519</v>
      </c>
      <c r="N819" t="s">
        <v>394</v>
      </c>
    </row>
    <row r="820" spans="1:14" ht="11.25" customHeight="1">
      <c r="A820" s="1753" t="s">
        <v>2199</v>
      </c>
      <c r="B820" s="1753" t="s">
        <v>14</v>
      </c>
      <c r="C820" s="1753" t="s">
        <v>2640</v>
      </c>
      <c r="D820" s="1753" t="s">
        <v>2641</v>
      </c>
      <c r="E820" s="1753" t="s">
        <v>2642</v>
      </c>
      <c r="F820" s="1753" t="s">
        <v>2539</v>
      </c>
      <c r="G820" s="1753" t="s">
        <v>17</v>
      </c>
      <c r="H820" s="1753" t="s">
        <v>17</v>
      </c>
      <c r="I820" s="1753" t="s">
        <v>2330</v>
      </c>
      <c r="J820" t="s">
        <v>17</v>
      </c>
      <c r="K820" t="s">
        <v>3517</v>
      </c>
      <c r="L820" t="s">
        <v>3518</v>
      </c>
      <c r="M820" t="s">
        <v>3519</v>
      </c>
      <c r="N820" t="s">
        <v>394</v>
      </c>
    </row>
    <row r="821" spans="1:14" ht="11.25" customHeight="1">
      <c r="A821" s="1753" t="s">
        <v>2199</v>
      </c>
      <c r="B821" s="1753" t="s">
        <v>14</v>
      </c>
      <c r="C821" s="1753" t="s">
        <v>2643</v>
      </c>
      <c r="D821" s="1753" t="s">
        <v>2644</v>
      </c>
      <c r="E821" s="1753" t="s">
        <v>2645</v>
      </c>
      <c r="F821" s="1753" t="s">
        <v>2548</v>
      </c>
      <c r="G821" s="1753" t="s">
        <v>17</v>
      </c>
      <c r="H821" s="1753" t="s">
        <v>17</v>
      </c>
      <c r="I821" s="1753" t="s">
        <v>2330</v>
      </c>
      <c r="J821" t="s">
        <v>17</v>
      </c>
      <c r="K821" t="s">
        <v>3517</v>
      </c>
      <c r="L821" t="s">
        <v>3518</v>
      </c>
      <c r="M821" t="s">
        <v>3519</v>
      </c>
      <c r="N821" t="s">
        <v>394</v>
      </c>
    </row>
    <row r="822" spans="1:14" ht="11.25" customHeight="1">
      <c r="A822" s="1753" t="s">
        <v>2199</v>
      </c>
      <c r="B822" s="1753" t="s">
        <v>14</v>
      </c>
      <c r="C822" s="1753" t="s">
        <v>2646</v>
      </c>
      <c r="D822" s="1753" t="s">
        <v>2647</v>
      </c>
      <c r="E822" s="1753" t="s">
        <v>2648</v>
      </c>
      <c r="F822" s="1753" t="s">
        <v>2649</v>
      </c>
      <c r="G822" s="1753" t="s">
        <v>17</v>
      </c>
      <c r="H822" s="1753" t="s">
        <v>17</v>
      </c>
      <c r="I822" s="1753" t="s">
        <v>2330</v>
      </c>
      <c r="J822" t="s">
        <v>17</v>
      </c>
      <c r="K822" t="s">
        <v>3517</v>
      </c>
      <c r="L822" t="s">
        <v>3518</v>
      </c>
      <c r="M822" t="s">
        <v>3519</v>
      </c>
      <c r="N822" t="s">
        <v>394</v>
      </c>
    </row>
    <row r="823" spans="1:14" ht="11.25" customHeight="1">
      <c r="A823" s="1753" t="s">
        <v>2199</v>
      </c>
      <c r="B823" s="1753" t="s">
        <v>14</v>
      </c>
      <c r="C823" s="1753" t="s">
        <v>3383</v>
      </c>
      <c r="D823" s="1753" t="s">
        <v>3384</v>
      </c>
      <c r="E823" s="1753" t="s">
        <v>3385</v>
      </c>
      <c r="F823" s="1753" t="s">
        <v>2705</v>
      </c>
      <c r="G823" s="1753" t="s">
        <v>17</v>
      </c>
      <c r="H823" s="1753" t="s">
        <v>17</v>
      </c>
      <c r="I823" s="1753" t="s">
        <v>3563</v>
      </c>
      <c r="J823" t="s">
        <v>17</v>
      </c>
      <c r="K823" t="s">
        <v>3517</v>
      </c>
      <c r="L823" t="s">
        <v>3518</v>
      </c>
      <c r="M823" t="s">
        <v>3519</v>
      </c>
      <c r="N823" t="s">
        <v>394</v>
      </c>
    </row>
    <row r="824" spans="1:14" ht="11.25" customHeight="1">
      <c r="A824" s="1753" t="s">
        <v>2199</v>
      </c>
      <c r="B824" s="1753" t="s">
        <v>14</v>
      </c>
      <c r="C824" s="1753" t="s">
        <v>3386</v>
      </c>
      <c r="D824" s="1753" t="s">
        <v>3387</v>
      </c>
      <c r="E824" s="1753" t="s">
        <v>3388</v>
      </c>
      <c r="F824" s="1753" t="s">
        <v>2432</v>
      </c>
      <c r="G824" s="1753" t="s">
        <v>17</v>
      </c>
      <c r="H824" s="1753" t="s">
        <v>17</v>
      </c>
      <c r="I824" s="1753" t="s">
        <v>2518</v>
      </c>
      <c r="J824" t="s">
        <v>17</v>
      </c>
      <c r="K824" t="s">
        <v>3524</v>
      </c>
      <c r="L824" t="s">
        <v>3525</v>
      </c>
      <c r="M824" t="s">
        <v>3526</v>
      </c>
      <c r="N824" t="s">
        <v>394</v>
      </c>
    </row>
    <row r="825" spans="1:14" ht="11.25" customHeight="1">
      <c r="A825" s="1753" t="s">
        <v>2199</v>
      </c>
      <c r="B825" s="1753" t="s">
        <v>14</v>
      </c>
      <c r="C825" s="1753" t="s">
        <v>2650</v>
      </c>
      <c r="D825" s="1753" t="s">
        <v>2651</v>
      </c>
      <c r="E825" s="1753" t="s">
        <v>2652</v>
      </c>
      <c r="F825" s="1753" t="s">
        <v>2653</v>
      </c>
      <c r="G825" s="1753" t="s">
        <v>17</v>
      </c>
      <c r="H825" s="1753" t="s">
        <v>17</v>
      </c>
      <c r="I825" s="1753" t="s">
        <v>2330</v>
      </c>
      <c r="J825" t="s">
        <v>17</v>
      </c>
      <c r="K825" t="s">
        <v>3537</v>
      </c>
      <c r="L825" t="s">
        <v>3538</v>
      </c>
      <c r="M825" t="s">
        <v>3539</v>
      </c>
      <c r="N825" t="s">
        <v>394</v>
      </c>
    </row>
    <row r="826" spans="1:14" ht="11.25" customHeight="1">
      <c r="A826" s="1753" t="s">
        <v>2199</v>
      </c>
      <c r="B826" s="1753" t="s">
        <v>14</v>
      </c>
      <c r="C826" s="1753" t="s">
        <v>2654</v>
      </c>
      <c r="D826" s="1753" t="s">
        <v>2655</v>
      </c>
      <c r="E826" s="1753" t="s">
        <v>2656</v>
      </c>
      <c r="F826" s="1753" t="s">
        <v>2264</v>
      </c>
      <c r="G826" s="1753" t="s">
        <v>17</v>
      </c>
      <c r="H826" s="1753" t="s">
        <v>17</v>
      </c>
      <c r="I826" s="1753" t="s">
        <v>3389</v>
      </c>
      <c r="J826" t="s">
        <v>17</v>
      </c>
      <c r="K826" t="s">
        <v>3517</v>
      </c>
      <c r="L826" t="s">
        <v>3518</v>
      </c>
      <c r="M826" t="s">
        <v>3519</v>
      </c>
      <c r="N826" t="s">
        <v>394</v>
      </c>
    </row>
    <row r="827" spans="1:14" ht="11.25" customHeight="1">
      <c r="A827" s="1753" t="s">
        <v>2199</v>
      </c>
      <c r="B827" s="1753" t="s">
        <v>14</v>
      </c>
      <c r="C827" s="1753" t="s">
        <v>3393</v>
      </c>
      <c r="D827" s="1753" t="s">
        <v>3394</v>
      </c>
      <c r="E827" s="1753" t="s">
        <v>3395</v>
      </c>
      <c r="F827" s="1753" t="s">
        <v>2424</v>
      </c>
      <c r="G827" s="1753" t="s">
        <v>17</v>
      </c>
      <c r="H827" s="1753" t="s">
        <v>17</v>
      </c>
      <c r="I827" s="1753" t="s">
        <v>2469</v>
      </c>
      <c r="J827" t="s">
        <v>17</v>
      </c>
      <c r="K827" t="s">
        <v>3517</v>
      </c>
      <c r="L827" t="s">
        <v>3556</v>
      </c>
      <c r="M827" t="s">
        <v>3557</v>
      </c>
      <c r="N827" t="s">
        <v>394</v>
      </c>
    </row>
    <row r="828" spans="1:14" ht="11.25" customHeight="1">
      <c r="A828" s="1753" t="s">
        <v>2199</v>
      </c>
      <c r="B828" s="1753" t="s">
        <v>14</v>
      </c>
      <c r="C828" s="1753" t="s">
        <v>2658</v>
      </c>
      <c r="D828" s="1753" t="s">
        <v>2659</v>
      </c>
      <c r="E828" s="1753" t="s">
        <v>2660</v>
      </c>
      <c r="F828" s="1753" t="s">
        <v>2412</v>
      </c>
      <c r="G828" s="1753" t="s">
        <v>17</v>
      </c>
      <c r="H828" s="1753" t="s">
        <v>17</v>
      </c>
      <c r="I828" s="1753" t="s">
        <v>2661</v>
      </c>
      <c r="J828" t="s">
        <v>17</v>
      </c>
      <c r="K828" t="s">
        <v>3524</v>
      </c>
      <c r="L828" t="s">
        <v>3525</v>
      </c>
      <c r="M828" t="s">
        <v>3526</v>
      </c>
      <c r="N828" t="s">
        <v>394</v>
      </c>
    </row>
    <row r="829" spans="1:14" ht="11.25" customHeight="1">
      <c r="A829" s="1753" t="s">
        <v>2199</v>
      </c>
      <c r="B829" s="1753" t="s">
        <v>14</v>
      </c>
      <c r="C829" s="1753" t="s">
        <v>2662</v>
      </c>
      <c r="D829" s="1753" t="s">
        <v>2663</v>
      </c>
      <c r="E829" s="1753" t="s">
        <v>2664</v>
      </c>
      <c r="F829" s="1753" t="s">
        <v>2665</v>
      </c>
      <c r="G829" s="1753" t="s">
        <v>2666</v>
      </c>
      <c r="H829" s="1753" t="s">
        <v>17</v>
      </c>
      <c r="I829" s="1753" t="s">
        <v>2330</v>
      </c>
      <c r="J829" t="s">
        <v>17</v>
      </c>
      <c r="K829" t="s">
        <v>3517</v>
      </c>
      <c r="L829" t="s">
        <v>3518</v>
      </c>
      <c r="M829" t="s">
        <v>3519</v>
      </c>
      <c r="N829" t="s">
        <v>394</v>
      </c>
    </row>
    <row r="830" spans="1:14" ht="11.25" customHeight="1">
      <c r="A830" s="1753" t="s">
        <v>2199</v>
      </c>
      <c r="B830" s="1753" t="s">
        <v>14</v>
      </c>
      <c r="C830" s="1753" t="s">
        <v>2667</v>
      </c>
      <c r="D830" s="1753" t="s">
        <v>2668</v>
      </c>
      <c r="E830" s="1753" t="s">
        <v>2669</v>
      </c>
      <c r="F830" s="1753" t="s">
        <v>2670</v>
      </c>
      <c r="G830" s="1753" t="s">
        <v>17</v>
      </c>
      <c r="H830" s="1753" t="s">
        <v>17</v>
      </c>
      <c r="I830" s="1753" t="s">
        <v>2452</v>
      </c>
      <c r="J830" t="s">
        <v>17</v>
      </c>
      <c r="K830" t="s">
        <v>3517</v>
      </c>
      <c r="L830" t="s">
        <v>3518</v>
      </c>
      <c r="M830" t="s">
        <v>3519</v>
      </c>
      <c r="N830" t="s">
        <v>394</v>
      </c>
    </row>
    <row r="831" spans="1:14" ht="11.25" customHeight="1">
      <c r="A831" s="1753" t="s">
        <v>2199</v>
      </c>
      <c r="B831" s="1753" t="s">
        <v>14</v>
      </c>
      <c r="C831" s="1753" t="s">
        <v>2671</v>
      </c>
      <c r="D831" s="1753" t="s">
        <v>2672</v>
      </c>
      <c r="E831" s="1753" t="s">
        <v>2673</v>
      </c>
      <c r="F831" s="1753" t="s">
        <v>2420</v>
      </c>
      <c r="G831" s="1753" t="s">
        <v>17</v>
      </c>
      <c r="H831" s="1753" t="s">
        <v>17</v>
      </c>
      <c r="I831" s="1753" t="s">
        <v>2330</v>
      </c>
      <c r="J831" t="s">
        <v>17</v>
      </c>
      <c r="K831" t="s">
        <v>3537</v>
      </c>
      <c r="L831" t="s">
        <v>3564</v>
      </c>
      <c r="M831" t="s">
        <v>3565</v>
      </c>
      <c r="N831" t="s">
        <v>394</v>
      </c>
    </row>
    <row r="832" spans="1:14" ht="11.25" customHeight="1">
      <c r="A832" s="1753" t="s">
        <v>2199</v>
      </c>
      <c r="B832" s="1753" t="s">
        <v>14</v>
      </c>
      <c r="C832" s="1753" t="s">
        <v>2674</v>
      </c>
      <c r="D832" s="1753" t="s">
        <v>2675</v>
      </c>
      <c r="E832" s="1753" t="s">
        <v>2676</v>
      </c>
      <c r="F832" s="1753" t="s">
        <v>2677</v>
      </c>
      <c r="G832" s="1753" t="s">
        <v>17</v>
      </c>
      <c r="H832" s="1753" t="s">
        <v>17</v>
      </c>
      <c r="I832" s="1753" t="s">
        <v>2330</v>
      </c>
      <c r="J832" t="s">
        <v>17</v>
      </c>
      <c r="K832" t="s">
        <v>3517</v>
      </c>
      <c r="L832" t="s">
        <v>3518</v>
      </c>
      <c r="M832" t="s">
        <v>3519</v>
      </c>
      <c r="N832" t="s">
        <v>394</v>
      </c>
    </row>
    <row r="833" spans="1:14" ht="11.25" customHeight="1">
      <c r="A833" s="1753" t="s">
        <v>2199</v>
      </c>
      <c r="B833" s="1753" t="s">
        <v>14</v>
      </c>
      <c r="C833" s="1753" t="s">
        <v>2678</v>
      </c>
      <c r="D833" s="1753" t="s">
        <v>2679</v>
      </c>
      <c r="E833" s="1753" t="s">
        <v>2680</v>
      </c>
      <c r="F833" s="1753" t="s">
        <v>2457</v>
      </c>
      <c r="G833" s="1753" t="s">
        <v>17</v>
      </c>
      <c r="H833" s="1753" t="s">
        <v>17</v>
      </c>
      <c r="I833" s="1753" t="s">
        <v>2330</v>
      </c>
      <c r="J833" t="s">
        <v>17</v>
      </c>
      <c r="K833" t="s">
        <v>3517</v>
      </c>
      <c r="L833" t="s">
        <v>3518</v>
      </c>
      <c r="M833" t="s">
        <v>3519</v>
      </c>
      <c r="N833" t="s">
        <v>394</v>
      </c>
    </row>
    <row r="834" spans="1:14" ht="11.25" customHeight="1">
      <c r="A834" s="1753" t="s">
        <v>2199</v>
      </c>
      <c r="B834" s="1753" t="s">
        <v>14</v>
      </c>
      <c r="C834" s="1753" t="s">
        <v>2681</v>
      </c>
      <c r="D834" s="1753" t="s">
        <v>2682</v>
      </c>
      <c r="E834" s="1753" t="s">
        <v>2683</v>
      </c>
      <c r="F834" s="1753" t="s">
        <v>2684</v>
      </c>
      <c r="G834" s="1753" t="s">
        <v>17</v>
      </c>
      <c r="H834" s="1753" t="s">
        <v>17</v>
      </c>
      <c r="I834" s="1753" t="s">
        <v>2330</v>
      </c>
      <c r="J834" t="s">
        <v>17</v>
      </c>
      <c r="K834" t="s">
        <v>3517</v>
      </c>
      <c r="L834" t="s">
        <v>3518</v>
      </c>
      <c r="M834" t="s">
        <v>3519</v>
      </c>
      <c r="N834" t="s">
        <v>394</v>
      </c>
    </row>
    <row r="835" spans="1:14" ht="11.25" customHeight="1">
      <c r="A835" s="1753" t="s">
        <v>2199</v>
      </c>
      <c r="B835" s="1753" t="s">
        <v>14</v>
      </c>
      <c r="C835" s="1753" t="s">
        <v>2685</v>
      </c>
      <c r="D835" s="1753" t="s">
        <v>2686</v>
      </c>
      <c r="E835" s="1753" t="s">
        <v>2687</v>
      </c>
      <c r="F835" s="1753" t="s">
        <v>2424</v>
      </c>
      <c r="G835" s="1753" t="s">
        <v>2688</v>
      </c>
      <c r="H835" s="1753" t="s">
        <v>17</v>
      </c>
      <c r="I835" s="1753" t="s">
        <v>2330</v>
      </c>
      <c r="J835" t="s">
        <v>17</v>
      </c>
      <c r="K835" t="s">
        <v>3517</v>
      </c>
      <c r="L835" t="s">
        <v>3518</v>
      </c>
      <c r="M835" t="s">
        <v>3519</v>
      </c>
      <c r="N835" t="s">
        <v>394</v>
      </c>
    </row>
    <row r="836" spans="1:14" ht="11.25" customHeight="1">
      <c r="A836" s="1753" t="s">
        <v>2199</v>
      </c>
      <c r="B836" s="1753" t="s">
        <v>14</v>
      </c>
      <c r="C836" s="1753" t="s">
        <v>2692</v>
      </c>
      <c r="D836" s="1753" t="s">
        <v>2693</v>
      </c>
      <c r="E836" s="1753" t="s">
        <v>2694</v>
      </c>
      <c r="F836" s="1753" t="s">
        <v>2695</v>
      </c>
      <c r="G836" s="1753" t="s">
        <v>17</v>
      </c>
      <c r="H836" s="1753" t="s">
        <v>17</v>
      </c>
      <c r="I836" s="1753" t="s">
        <v>2330</v>
      </c>
      <c r="J836" t="s">
        <v>17</v>
      </c>
      <c r="K836" t="s">
        <v>3517</v>
      </c>
      <c r="L836" t="s">
        <v>3518</v>
      </c>
      <c r="M836" t="s">
        <v>3519</v>
      </c>
      <c r="N836" t="s">
        <v>394</v>
      </c>
    </row>
    <row r="837" spans="1:14" ht="11.25" customHeight="1">
      <c r="A837" s="1753" t="s">
        <v>2199</v>
      </c>
      <c r="B837" s="1753" t="s">
        <v>14</v>
      </c>
      <c r="C837" s="1753" t="s">
        <v>2696</v>
      </c>
      <c r="D837" s="1753" t="s">
        <v>2697</v>
      </c>
      <c r="E837" s="1753" t="s">
        <v>2698</v>
      </c>
      <c r="F837" s="1753" t="s">
        <v>2539</v>
      </c>
      <c r="G837" s="1753" t="s">
        <v>17</v>
      </c>
      <c r="H837" s="1753" t="s">
        <v>17</v>
      </c>
      <c r="I837" s="1753" t="s">
        <v>2330</v>
      </c>
      <c r="J837" t="s">
        <v>17</v>
      </c>
      <c r="K837" t="s">
        <v>3517</v>
      </c>
      <c r="L837" t="s">
        <v>3518</v>
      </c>
      <c r="M837" t="s">
        <v>3519</v>
      </c>
      <c r="N837" t="s">
        <v>394</v>
      </c>
    </row>
    <row r="838" spans="1:14" ht="11.25" customHeight="1">
      <c r="A838" s="1753" t="s">
        <v>2199</v>
      </c>
      <c r="B838" s="1753" t="s">
        <v>14</v>
      </c>
      <c r="C838" s="1753" t="s">
        <v>3396</v>
      </c>
      <c r="D838" s="1753" t="s">
        <v>3397</v>
      </c>
      <c r="E838" s="1753" t="s">
        <v>3398</v>
      </c>
      <c r="F838" s="1753" t="s">
        <v>2457</v>
      </c>
      <c r="G838" s="1753" t="s">
        <v>3399</v>
      </c>
      <c r="H838" s="1753" t="s">
        <v>17</v>
      </c>
      <c r="I838" s="1753" t="s">
        <v>2330</v>
      </c>
      <c r="J838" t="s">
        <v>17</v>
      </c>
      <c r="K838" t="s">
        <v>3537</v>
      </c>
      <c r="L838" t="s">
        <v>3538</v>
      </c>
      <c r="M838" t="s">
        <v>3539</v>
      </c>
      <c r="N838" t="s">
        <v>394</v>
      </c>
    </row>
    <row r="839" spans="1:14" ht="11.25" customHeight="1">
      <c r="A839" s="1753" t="s">
        <v>2199</v>
      </c>
      <c r="B839" s="1753" t="s">
        <v>14</v>
      </c>
      <c r="C839" s="1753" t="s">
        <v>2702</v>
      </c>
      <c r="D839" s="1753" t="s">
        <v>2703</v>
      </c>
      <c r="E839" s="1753" t="s">
        <v>2704</v>
      </c>
      <c r="F839" s="1753" t="s">
        <v>2705</v>
      </c>
      <c r="G839" s="1753" t="s">
        <v>17</v>
      </c>
      <c r="H839" s="1753" t="s">
        <v>17</v>
      </c>
      <c r="I839" s="1753" t="s">
        <v>2246</v>
      </c>
      <c r="J839" t="s">
        <v>17</v>
      </c>
      <c r="K839" t="s">
        <v>3517</v>
      </c>
      <c r="L839" t="s">
        <v>3518</v>
      </c>
      <c r="M839" t="s">
        <v>3519</v>
      </c>
      <c r="N839" t="s">
        <v>394</v>
      </c>
    </row>
    <row r="840" spans="1:14" ht="11.25" customHeight="1">
      <c r="A840" s="1753" t="s">
        <v>2199</v>
      </c>
      <c r="B840" s="1753" t="s">
        <v>14</v>
      </c>
      <c r="C840" s="1753" t="s">
        <v>2706</v>
      </c>
      <c r="D840" s="1753" t="s">
        <v>2707</v>
      </c>
      <c r="E840" s="1753" t="s">
        <v>2708</v>
      </c>
      <c r="F840" s="1753" t="s">
        <v>2653</v>
      </c>
      <c r="G840" s="1753" t="s">
        <v>17</v>
      </c>
      <c r="H840" s="1753" t="s">
        <v>17</v>
      </c>
      <c r="I840" s="1753" t="s">
        <v>2330</v>
      </c>
      <c r="J840" t="s">
        <v>17</v>
      </c>
      <c r="K840" t="s">
        <v>3537</v>
      </c>
      <c r="L840" t="s">
        <v>3538</v>
      </c>
      <c r="M840" t="s">
        <v>3539</v>
      </c>
      <c r="N840" t="s">
        <v>394</v>
      </c>
    </row>
    <row r="841" spans="1:14" ht="11.25" customHeight="1">
      <c r="A841" s="1753" t="s">
        <v>2199</v>
      </c>
      <c r="B841" s="1753" t="s">
        <v>14</v>
      </c>
      <c r="C841" s="1753" t="s">
        <v>3400</v>
      </c>
      <c r="D841" s="1753" t="s">
        <v>3401</v>
      </c>
      <c r="E841" s="1753" t="s">
        <v>3402</v>
      </c>
      <c r="F841" s="1753" t="s">
        <v>2705</v>
      </c>
      <c r="G841" s="1753" t="s">
        <v>17</v>
      </c>
      <c r="H841" s="1753" t="s">
        <v>17</v>
      </c>
      <c r="I841" s="1753" t="s">
        <v>2246</v>
      </c>
      <c r="J841" t="s">
        <v>17</v>
      </c>
      <c r="K841" t="s">
        <v>3517</v>
      </c>
      <c r="L841" t="s">
        <v>3518</v>
      </c>
      <c r="M841" t="s">
        <v>3519</v>
      </c>
      <c r="N841" t="s">
        <v>394</v>
      </c>
    </row>
    <row r="842" spans="1:14" ht="11.25" customHeight="1">
      <c r="A842" s="1753" t="s">
        <v>2199</v>
      </c>
      <c r="B842" s="1753" t="s">
        <v>14</v>
      </c>
      <c r="C842" s="1753" t="s">
        <v>3403</v>
      </c>
      <c r="D842" s="1753" t="s">
        <v>3404</v>
      </c>
      <c r="E842" s="1753" t="s">
        <v>3405</v>
      </c>
      <c r="F842" s="1753" t="s">
        <v>2457</v>
      </c>
      <c r="G842" s="1753" t="s">
        <v>3406</v>
      </c>
      <c r="H842" s="1753" t="s">
        <v>17</v>
      </c>
      <c r="I842" s="1753" t="s">
        <v>2469</v>
      </c>
      <c r="J842" t="s">
        <v>17</v>
      </c>
      <c r="K842" t="s">
        <v>3537</v>
      </c>
      <c r="L842" t="s">
        <v>3538</v>
      </c>
      <c r="M842" t="s">
        <v>3539</v>
      </c>
      <c r="N842" t="s">
        <v>394</v>
      </c>
    </row>
    <row r="843" spans="1:14" ht="11.25" customHeight="1">
      <c r="A843" s="1753" t="s">
        <v>2199</v>
      </c>
      <c r="B843" s="1753" t="s">
        <v>14</v>
      </c>
      <c r="C843" s="1753" t="s">
        <v>3407</v>
      </c>
      <c r="D843" s="1753" t="s">
        <v>3408</v>
      </c>
      <c r="E843" s="1753" t="s">
        <v>3409</v>
      </c>
      <c r="F843" s="1753" t="s">
        <v>2457</v>
      </c>
      <c r="G843" s="1753" t="s">
        <v>17</v>
      </c>
      <c r="H843" s="1753" t="s">
        <v>17</v>
      </c>
      <c r="I843" s="1753" t="s">
        <v>2330</v>
      </c>
      <c r="J843" t="s">
        <v>17</v>
      </c>
      <c r="K843" t="s">
        <v>3537</v>
      </c>
      <c r="L843" t="s">
        <v>3538</v>
      </c>
      <c r="M843" t="s">
        <v>3539</v>
      </c>
      <c r="N843" t="s">
        <v>394</v>
      </c>
    </row>
    <row r="844" spans="1:14" ht="11.25" customHeight="1">
      <c r="A844" s="1753" t="s">
        <v>2199</v>
      </c>
      <c r="B844" s="1753" t="s">
        <v>14</v>
      </c>
      <c r="C844" s="1753" t="s">
        <v>3410</v>
      </c>
      <c r="D844" s="1753" t="s">
        <v>3411</v>
      </c>
      <c r="E844" s="1753" t="s">
        <v>3412</v>
      </c>
      <c r="F844" s="1753" t="s">
        <v>2424</v>
      </c>
      <c r="G844" s="1753" t="s">
        <v>17</v>
      </c>
      <c r="H844" s="1753" t="s">
        <v>17</v>
      </c>
      <c r="I844" s="1753" t="s">
        <v>2330</v>
      </c>
      <c r="J844" t="s">
        <v>17</v>
      </c>
      <c r="K844" t="s">
        <v>3517</v>
      </c>
      <c r="L844" t="s">
        <v>3518</v>
      </c>
      <c r="M844" t="s">
        <v>3519</v>
      </c>
      <c r="N844" t="s">
        <v>394</v>
      </c>
    </row>
    <row r="845" spans="1:14" ht="11.25" customHeight="1">
      <c r="A845" s="1753" t="s">
        <v>2199</v>
      </c>
      <c r="B845" s="1753" t="s">
        <v>14</v>
      </c>
      <c r="C845" s="1753" t="s">
        <v>3566</v>
      </c>
      <c r="D845" s="1753" t="s">
        <v>3567</v>
      </c>
      <c r="E845" s="1753" t="s">
        <v>3568</v>
      </c>
      <c r="F845" s="1753" t="s">
        <v>2268</v>
      </c>
      <c r="G845" s="1753" t="s">
        <v>17</v>
      </c>
      <c r="H845" s="1753" t="s">
        <v>17</v>
      </c>
      <c r="I845" s="1753" t="s">
        <v>3569</v>
      </c>
      <c r="J845" t="s">
        <v>17</v>
      </c>
      <c r="K845" t="s">
        <v>3517</v>
      </c>
      <c r="L845" t="s">
        <v>3556</v>
      </c>
      <c r="M845" t="s">
        <v>3557</v>
      </c>
      <c r="N845" t="s">
        <v>394</v>
      </c>
    </row>
    <row r="846" spans="1:14" ht="11.25" customHeight="1">
      <c r="A846" s="1753" t="s">
        <v>2199</v>
      </c>
      <c r="B846" s="1753" t="s">
        <v>14</v>
      </c>
      <c r="C846" s="1753" t="s">
        <v>3570</v>
      </c>
      <c r="D846" s="1753" t="s">
        <v>3571</v>
      </c>
      <c r="E846" s="1753" t="s">
        <v>3572</v>
      </c>
      <c r="F846" s="1753" t="s">
        <v>2259</v>
      </c>
      <c r="G846" s="1753" t="s">
        <v>17</v>
      </c>
      <c r="H846" s="1753" t="s">
        <v>17</v>
      </c>
      <c r="I846" s="1753" t="s">
        <v>2214</v>
      </c>
      <c r="J846" t="s">
        <v>17</v>
      </c>
      <c r="K846" t="s">
        <v>3517</v>
      </c>
      <c r="L846" t="s">
        <v>3518</v>
      </c>
      <c r="M846" t="s">
        <v>3519</v>
      </c>
      <c r="N846" t="s">
        <v>394</v>
      </c>
    </row>
    <row r="847" spans="1:14" ht="11.25" customHeight="1">
      <c r="A847" s="1753" t="s">
        <v>2199</v>
      </c>
      <c r="B847" s="1753" t="s">
        <v>14</v>
      </c>
      <c r="C847" s="1753" t="s">
        <v>2743</v>
      </c>
      <c r="D847" s="1753" t="s">
        <v>2744</v>
      </c>
      <c r="E847" s="1753" t="s">
        <v>2745</v>
      </c>
      <c r="F847" s="1753" t="s">
        <v>2746</v>
      </c>
      <c r="G847" s="1753" t="s">
        <v>17</v>
      </c>
      <c r="H847" s="1753" t="s">
        <v>17</v>
      </c>
      <c r="I847" s="1753" t="s">
        <v>2330</v>
      </c>
      <c r="J847" t="s">
        <v>17</v>
      </c>
      <c r="K847" t="s">
        <v>3537</v>
      </c>
      <c r="L847" t="s">
        <v>3538</v>
      </c>
      <c r="M847" t="s">
        <v>3539</v>
      </c>
      <c r="N847" t="s">
        <v>394</v>
      </c>
    </row>
    <row r="848" spans="1:14" ht="11.25" customHeight="1">
      <c r="A848" s="1753" t="s">
        <v>2199</v>
      </c>
      <c r="B848" s="1753" t="s">
        <v>14</v>
      </c>
      <c r="C848" s="1753" t="s">
        <v>3573</v>
      </c>
      <c r="D848" s="1753" t="s">
        <v>3574</v>
      </c>
      <c r="E848" s="1753" t="s">
        <v>3575</v>
      </c>
      <c r="F848" s="1753" t="s">
        <v>2203</v>
      </c>
      <c r="G848" s="1753" t="s">
        <v>17</v>
      </c>
      <c r="H848" s="1753" t="s">
        <v>17</v>
      </c>
      <c r="I848" s="1753" t="s">
        <v>3576</v>
      </c>
      <c r="J848" t="s">
        <v>17</v>
      </c>
      <c r="K848" t="s">
        <v>3534</v>
      </c>
      <c r="L848" t="s">
        <v>3535</v>
      </c>
      <c r="M848" t="s">
        <v>3536</v>
      </c>
      <c r="N848" t="s">
        <v>394</v>
      </c>
    </row>
    <row r="849" spans="1:14" ht="11.25" customHeight="1">
      <c r="A849" s="1753" t="s">
        <v>2199</v>
      </c>
      <c r="B849" s="1753" t="s">
        <v>14</v>
      </c>
      <c r="C849" s="1753" t="s">
        <v>3418</v>
      </c>
      <c r="D849" s="1753" t="s">
        <v>3419</v>
      </c>
      <c r="E849" s="1753" t="s">
        <v>3420</v>
      </c>
      <c r="F849" s="1753" t="s">
        <v>2223</v>
      </c>
      <c r="G849" s="1753" t="s">
        <v>3421</v>
      </c>
      <c r="H849" s="1753" t="s">
        <v>17</v>
      </c>
      <c r="I849" s="1753" t="s">
        <v>2827</v>
      </c>
      <c r="J849" t="s">
        <v>17</v>
      </c>
      <c r="K849" t="s">
        <v>3517</v>
      </c>
      <c r="L849" t="s">
        <v>3518</v>
      </c>
      <c r="M849" t="s">
        <v>3519</v>
      </c>
      <c r="N849" t="s">
        <v>394</v>
      </c>
    </row>
    <row r="850" spans="1:14" ht="11.25" customHeight="1">
      <c r="A850" s="1753" t="s">
        <v>2199</v>
      </c>
      <c r="B850" s="1753" t="s">
        <v>14</v>
      </c>
      <c r="C850" s="1753" t="s">
        <v>3422</v>
      </c>
      <c r="D850" s="1753" t="s">
        <v>3423</v>
      </c>
      <c r="E850" s="1753" t="s">
        <v>3424</v>
      </c>
      <c r="F850" s="1753" t="s">
        <v>2380</v>
      </c>
      <c r="G850" s="1753" t="s">
        <v>17</v>
      </c>
      <c r="H850" s="1753" t="s">
        <v>17</v>
      </c>
      <c r="I850" s="1753" t="s">
        <v>3425</v>
      </c>
      <c r="J850" t="s">
        <v>17</v>
      </c>
      <c r="K850" t="s">
        <v>3537</v>
      </c>
      <c r="L850" t="s">
        <v>3538</v>
      </c>
      <c r="M850" t="s">
        <v>3539</v>
      </c>
      <c r="N850" t="s">
        <v>394</v>
      </c>
    </row>
    <row r="851" spans="1:14" ht="11.25" customHeight="1">
      <c r="A851" s="1753" t="s">
        <v>2199</v>
      </c>
      <c r="B851" s="1753" t="s">
        <v>14</v>
      </c>
      <c r="C851" s="1753" t="s">
        <v>3577</v>
      </c>
      <c r="D851" s="1753" t="s">
        <v>3578</v>
      </c>
      <c r="E851" s="1753" t="s">
        <v>3579</v>
      </c>
      <c r="F851" s="1753" t="s">
        <v>2268</v>
      </c>
      <c r="G851" s="1753" t="s">
        <v>17</v>
      </c>
      <c r="H851" s="1753" t="s">
        <v>17</v>
      </c>
      <c r="I851" s="1753" t="s">
        <v>2452</v>
      </c>
      <c r="J851" t="s">
        <v>17</v>
      </c>
      <c r="K851" t="s">
        <v>3517</v>
      </c>
      <c r="L851" t="s">
        <v>3518</v>
      </c>
      <c r="M851" t="s">
        <v>3519</v>
      </c>
      <c r="N851" t="s">
        <v>394</v>
      </c>
    </row>
    <row r="852" spans="1:14" ht="11.25" customHeight="1">
      <c r="A852" s="1753" t="s">
        <v>2199</v>
      </c>
      <c r="B852" s="1753" t="s">
        <v>14</v>
      </c>
      <c r="C852" s="1753" t="s">
        <v>3580</v>
      </c>
      <c r="D852" s="1753" t="s">
        <v>3581</v>
      </c>
      <c r="E852" s="1753" t="s">
        <v>3582</v>
      </c>
      <c r="F852" s="1753" t="s">
        <v>2245</v>
      </c>
      <c r="G852" s="1753" t="s">
        <v>17</v>
      </c>
      <c r="H852" s="1753" t="s">
        <v>17</v>
      </c>
      <c r="I852" s="1753" t="s">
        <v>2246</v>
      </c>
      <c r="J852" t="s">
        <v>17</v>
      </c>
      <c r="K852" t="s">
        <v>3517</v>
      </c>
      <c r="L852" t="s">
        <v>3518</v>
      </c>
      <c r="M852" t="s">
        <v>3519</v>
      </c>
      <c r="N852" t="s">
        <v>394</v>
      </c>
    </row>
    <row r="853" spans="1:14" ht="11.25" customHeight="1">
      <c r="A853" s="1753" t="s">
        <v>2199</v>
      </c>
      <c r="B853" s="1753" t="s">
        <v>14</v>
      </c>
      <c r="C853" s="1753" t="s">
        <v>3426</v>
      </c>
      <c r="D853" s="1753" t="s">
        <v>3427</v>
      </c>
      <c r="E853" s="1753" t="s">
        <v>3428</v>
      </c>
      <c r="F853" s="1753" t="s">
        <v>2705</v>
      </c>
      <c r="G853" s="1753" t="s">
        <v>17</v>
      </c>
      <c r="H853" s="1753" t="s">
        <v>17</v>
      </c>
      <c r="I853" s="1753" t="s">
        <v>2661</v>
      </c>
      <c r="J853" t="s">
        <v>17</v>
      </c>
      <c r="K853" t="s">
        <v>3537</v>
      </c>
      <c r="L853" t="s">
        <v>3558</v>
      </c>
      <c r="M853" t="s">
        <v>3559</v>
      </c>
      <c r="N853" t="s">
        <v>394</v>
      </c>
    </row>
    <row r="854" spans="1:14" ht="11.25" customHeight="1">
      <c r="A854" s="1753" t="s">
        <v>2199</v>
      </c>
      <c r="B854" s="1753" t="s">
        <v>14</v>
      </c>
      <c r="C854" s="1753" t="s">
        <v>3429</v>
      </c>
      <c r="D854" s="1753" t="s">
        <v>3430</v>
      </c>
      <c r="E854" s="1753" t="s">
        <v>3431</v>
      </c>
      <c r="F854" s="1753" t="s">
        <v>2457</v>
      </c>
      <c r="G854" s="1753" t="s">
        <v>17</v>
      </c>
      <c r="H854" s="1753" t="s">
        <v>17</v>
      </c>
      <c r="I854" s="1753" t="s">
        <v>2330</v>
      </c>
      <c r="J854" t="s">
        <v>17</v>
      </c>
      <c r="K854" t="s">
        <v>3517</v>
      </c>
      <c r="L854" t="s">
        <v>3518</v>
      </c>
      <c r="M854" t="s">
        <v>3519</v>
      </c>
      <c r="N854" t="s">
        <v>394</v>
      </c>
    </row>
    <row r="855" spans="1:14" ht="11.25" customHeight="1">
      <c r="A855" s="1753" t="s">
        <v>2199</v>
      </c>
      <c r="B855" s="1753" t="s">
        <v>14</v>
      </c>
      <c r="C855" s="1753" t="s">
        <v>3432</v>
      </c>
      <c r="D855" s="1753" t="s">
        <v>3433</v>
      </c>
      <c r="E855" s="1753" t="s">
        <v>3434</v>
      </c>
      <c r="F855" s="1753" t="s">
        <v>3435</v>
      </c>
      <c r="G855" s="1753" t="s">
        <v>17</v>
      </c>
      <c r="H855" s="1753" t="s">
        <v>17</v>
      </c>
      <c r="I855" s="1753" t="s">
        <v>2330</v>
      </c>
      <c r="J855" t="s">
        <v>17</v>
      </c>
      <c r="K855" t="s">
        <v>3517</v>
      </c>
      <c r="L855" t="s">
        <v>3518</v>
      </c>
      <c r="M855" t="s">
        <v>3519</v>
      </c>
      <c r="N855" t="s">
        <v>394</v>
      </c>
    </row>
    <row r="856" spans="1:14" ht="11.25" customHeight="1">
      <c r="A856" s="1753" t="s">
        <v>2199</v>
      </c>
      <c r="B856" s="1753" t="s">
        <v>14</v>
      </c>
      <c r="C856" s="1753" t="s">
        <v>3436</v>
      </c>
      <c r="D856" s="1753" t="s">
        <v>3437</v>
      </c>
      <c r="E856" s="1753" t="s">
        <v>3438</v>
      </c>
      <c r="F856" s="1753" t="s">
        <v>2255</v>
      </c>
      <c r="G856" s="1753" t="s">
        <v>17</v>
      </c>
      <c r="H856" s="1753" t="s">
        <v>17</v>
      </c>
      <c r="I856" s="1753" t="s">
        <v>2246</v>
      </c>
      <c r="J856" t="s">
        <v>17</v>
      </c>
      <c r="K856" t="s">
        <v>3517</v>
      </c>
      <c r="L856" t="s">
        <v>3518</v>
      </c>
      <c r="M856" t="s">
        <v>3519</v>
      </c>
      <c r="N856" t="s">
        <v>394</v>
      </c>
    </row>
    <row r="857" spans="1:14" ht="11.25" customHeight="1">
      <c r="A857" s="1753" t="s">
        <v>2199</v>
      </c>
      <c r="B857" s="1753" t="s">
        <v>14</v>
      </c>
      <c r="C857" s="1753" t="s">
        <v>3439</v>
      </c>
      <c r="D857" s="1753" t="s">
        <v>3440</v>
      </c>
      <c r="E857" s="1753" t="s">
        <v>3441</v>
      </c>
      <c r="F857" s="1753" t="s">
        <v>2705</v>
      </c>
      <c r="G857" s="1753" t="s">
        <v>17</v>
      </c>
      <c r="H857" s="1753" t="s">
        <v>17</v>
      </c>
      <c r="I857" s="1753" t="s">
        <v>2246</v>
      </c>
      <c r="J857" t="s">
        <v>17</v>
      </c>
      <c r="K857" t="s">
        <v>3517</v>
      </c>
      <c r="L857" t="s">
        <v>3518</v>
      </c>
      <c r="M857" t="s">
        <v>3519</v>
      </c>
      <c r="N857" t="s">
        <v>394</v>
      </c>
    </row>
    <row r="858" spans="1:14" ht="11.25" customHeight="1">
      <c r="A858" s="1753" t="s">
        <v>2199</v>
      </c>
      <c r="B858" s="1753" t="s">
        <v>14</v>
      </c>
      <c r="C858" s="1753" t="s">
        <v>3442</v>
      </c>
      <c r="D858" s="1753" t="s">
        <v>3443</v>
      </c>
      <c r="E858" s="1753" t="s">
        <v>3444</v>
      </c>
      <c r="F858" s="1753" t="s">
        <v>2218</v>
      </c>
      <c r="G858" s="1753" t="s">
        <v>17</v>
      </c>
      <c r="H858" s="1753" t="s">
        <v>17</v>
      </c>
      <c r="I858" s="1753" t="s">
        <v>3445</v>
      </c>
      <c r="J858" t="s">
        <v>17</v>
      </c>
      <c r="K858" t="s">
        <v>3517</v>
      </c>
      <c r="L858" t="s">
        <v>3518</v>
      </c>
      <c r="M858" t="s">
        <v>3519</v>
      </c>
      <c r="N858" t="s">
        <v>394</v>
      </c>
    </row>
    <row r="859" spans="1:14" ht="11.25" customHeight="1">
      <c r="A859" s="1753" t="s">
        <v>2199</v>
      </c>
      <c r="B859" s="1753" t="s">
        <v>14</v>
      </c>
      <c r="C859" s="1753" t="s">
        <v>2842</v>
      </c>
      <c r="D859" s="1753" t="s">
        <v>2843</v>
      </c>
      <c r="E859" s="1753" t="s">
        <v>2844</v>
      </c>
      <c r="F859" s="1753" t="s">
        <v>2314</v>
      </c>
      <c r="G859" s="1753" t="s">
        <v>2845</v>
      </c>
      <c r="H859" s="1753" t="s">
        <v>17</v>
      </c>
      <c r="I859" s="1753" t="s">
        <v>2325</v>
      </c>
      <c r="J859" t="s">
        <v>17</v>
      </c>
      <c r="K859" t="s">
        <v>3517</v>
      </c>
      <c r="L859" t="s">
        <v>3518</v>
      </c>
      <c r="M859" t="s">
        <v>3519</v>
      </c>
      <c r="N859" t="s">
        <v>394</v>
      </c>
    </row>
    <row r="860" spans="1:14" ht="11.25" customHeight="1">
      <c r="A860" s="1753" t="s">
        <v>2199</v>
      </c>
      <c r="B860" s="1753" t="s">
        <v>14</v>
      </c>
      <c r="C860" s="1753" t="s">
        <v>2846</v>
      </c>
      <c r="D860" s="1753" t="s">
        <v>2847</v>
      </c>
      <c r="E860" s="1753" t="s">
        <v>2848</v>
      </c>
      <c r="F860" s="1753" t="s">
        <v>50</v>
      </c>
      <c r="G860" s="1753" t="s">
        <v>17</v>
      </c>
      <c r="H860" s="1753" t="s">
        <v>17</v>
      </c>
      <c r="I860" s="1753" t="s">
        <v>3583</v>
      </c>
      <c r="J860" t="s">
        <v>17</v>
      </c>
      <c r="K860" t="s">
        <v>3524</v>
      </c>
      <c r="L860" t="s">
        <v>3525</v>
      </c>
      <c r="M860" t="s">
        <v>3526</v>
      </c>
      <c r="N860" t="s">
        <v>394</v>
      </c>
    </row>
    <row r="861" spans="1:14" ht="11.25" customHeight="1">
      <c r="A861" s="1753" t="s">
        <v>2199</v>
      </c>
      <c r="B861" s="1753" t="s">
        <v>14</v>
      </c>
      <c r="C861" s="1753" t="s">
        <v>3449</v>
      </c>
      <c r="D861" s="1753" t="s">
        <v>3450</v>
      </c>
      <c r="E861" s="1753" t="s">
        <v>3451</v>
      </c>
      <c r="F861" s="1753" t="s">
        <v>2314</v>
      </c>
      <c r="G861" s="1753" t="s">
        <v>17</v>
      </c>
      <c r="H861" s="1753" t="s">
        <v>17</v>
      </c>
      <c r="I861" s="1753" t="s">
        <v>2469</v>
      </c>
      <c r="J861" t="s">
        <v>17</v>
      </c>
      <c r="K861" t="s">
        <v>3537</v>
      </c>
      <c r="L861" t="s">
        <v>3538</v>
      </c>
      <c r="M861" t="s">
        <v>3539</v>
      </c>
      <c r="N861" t="s">
        <v>394</v>
      </c>
    </row>
    <row r="862" spans="1:14" ht="11.25" customHeight="1">
      <c r="A862" s="1753" t="s">
        <v>2199</v>
      </c>
      <c r="B862" s="1753" t="s">
        <v>14</v>
      </c>
      <c r="C862" s="1753" t="s">
        <v>3452</v>
      </c>
      <c r="D862" s="1753" t="s">
        <v>3450</v>
      </c>
      <c r="E862" s="1753" t="s">
        <v>3453</v>
      </c>
      <c r="F862" s="1753" t="s">
        <v>2203</v>
      </c>
      <c r="G862" s="1753" t="s">
        <v>17</v>
      </c>
      <c r="H862" s="1753" t="s">
        <v>17</v>
      </c>
      <c r="I862" s="1753" t="s">
        <v>3454</v>
      </c>
      <c r="J862" t="s">
        <v>17</v>
      </c>
      <c r="K862" t="s">
        <v>3517</v>
      </c>
      <c r="L862" t="s">
        <v>3518</v>
      </c>
      <c r="M862" t="s">
        <v>3519</v>
      </c>
      <c r="N862" t="s">
        <v>394</v>
      </c>
    </row>
    <row r="863" spans="1:14" ht="11.25" customHeight="1">
      <c r="A863" s="1753" t="s">
        <v>2199</v>
      </c>
      <c r="B863" s="1753" t="s">
        <v>14</v>
      </c>
      <c r="C863" s="1753" t="s">
        <v>3458</v>
      </c>
      <c r="D863" s="1753" t="s">
        <v>3459</v>
      </c>
      <c r="E863" s="1753" t="s">
        <v>3460</v>
      </c>
      <c r="F863" s="1753" t="s">
        <v>2539</v>
      </c>
      <c r="G863" s="1753" t="s">
        <v>17</v>
      </c>
      <c r="H863" s="1753" t="s">
        <v>17</v>
      </c>
      <c r="I863" s="1753" t="s">
        <v>2330</v>
      </c>
      <c r="J863" t="s">
        <v>17</v>
      </c>
      <c r="K863" t="s">
        <v>3517</v>
      </c>
      <c r="L863" t="s">
        <v>3518</v>
      </c>
      <c r="M863" t="s">
        <v>3519</v>
      </c>
      <c r="N863" t="s">
        <v>394</v>
      </c>
    </row>
    <row r="864" spans="1:14" ht="11.25" customHeight="1">
      <c r="A864" s="1753" t="s">
        <v>2199</v>
      </c>
      <c r="B864" s="1753" t="s">
        <v>14</v>
      </c>
      <c r="C864" s="1753" t="s">
        <v>3584</v>
      </c>
      <c r="D864" s="1753" t="s">
        <v>3585</v>
      </c>
      <c r="E864" s="1753" t="s">
        <v>3586</v>
      </c>
      <c r="F864" s="1753" t="s">
        <v>2474</v>
      </c>
      <c r="G864" s="1753" t="s">
        <v>17</v>
      </c>
      <c r="H864" s="1753" t="s">
        <v>17</v>
      </c>
      <c r="I864" s="1753" t="s">
        <v>2330</v>
      </c>
      <c r="J864" t="s">
        <v>17</v>
      </c>
      <c r="K864" t="s">
        <v>3524</v>
      </c>
      <c r="L864" t="s">
        <v>3525</v>
      </c>
      <c r="M864" t="s">
        <v>3526</v>
      </c>
      <c r="N864" t="s">
        <v>394</v>
      </c>
    </row>
    <row r="865" spans="1:14" ht="11.25" customHeight="1">
      <c r="A865" s="1753" t="s">
        <v>2199</v>
      </c>
      <c r="B865" s="1753" t="s">
        <v>14</v>
      </c>
      <c r="C865" s="1753" t="s">
        <v>3466</v>
      </c>
      <c r="D865" s="1753" t="s">
        <v>3467</v>
      </c>
      <c r="E865" s="1753" t="s">
        <v>3468</v>
      </c>
      <c r="F865" s="1753" t="s">
        <v>2223</v>
      </c>
      <c r="G865" s="1753" t="s">
        <v>17</v>
      </c>
      <c r="H865" s="1753" t="s">
        <v>17</v>
      </c>
      <c r="I865" s="1753" t="s">
        <v>2330</v>
      </c>
      <c r="J865" t="s">
        <v>17</v>
      </c>
      <c r="K865" t="s">
        <v>3537</v>
      </c>
      <c r="L865" t="s">
        <v>3558</v>
      </c>
      <c r="M865" t="s">
        <v>3559</v>
      </c>
      <c r="N865" t="s">
        <v>394</v>
      </c>
    </row>
    <row r="866" spans="1:14" ht="11.25" customHeight="1">
      <c r="A866" s="1753" t="s">
        <v>2199</v>
      </c>
      <c r="B866" s="1753" t="s">
        <v>14</v>
      </c>
      <c r="C866" s="1753" t="s">
        <v>3469</v>
      </c>
      <c r="D866" s="1753" t="s">
        <v>3470</v>
      </c>
      <c r="E866" s="1753" t="s">
        <v>3471</v>
      </c>
      <c r="F866" s="1753" t="s">
        <v>2259</v>
      </c>
      <c r="G866" s="1753" t="s">
        <v>3472</v>
      </c>
      <c r="H866" s="1753" t="s">
        <v>17</v>
      </c>
      <c r="I866" s="1753" t="s">
        <v>2330</v>
      </c>
      <c r="J866" t="s">
        <v>17</v>
      </c>
      <c r="K866" t="s">
        <v>3517</v>
      </c>
      <c r="L866" t="s">
        <v>3518</v>
      </c>
      <c r="M866" t="s">
        <v>3519</v>
      </c>
      <c r="N866" t="s">
        <v>394</v>
      </c>
    </row>
    <row r="867" spans="1:14" ht="11.25" customHeight="1">
      <c r="A867" s="1753" t="s">
        <v>2199</v>
      </c>
      <c r="B867" s="1753" t="s">
        <v>14</v>
      </c>
      <c r="C867" s="1753" t="s">
        <v>3480</v>
      </c>
      <c r="D867" s="1753" t="s">
        <v>3481</v>
      </c>
      <c r="E867" s="1753" t="s">
        <v>3482</v>
      </c>
      <c r="F867" s="1753" t="s">
        <v>2255</v>
      </c>
      <c r="G867" s="1753" t="s">
        <v>17</v>
      </c>
      <c r="H867" s="1753" t="s">
        <v>17</v>
      </c>
      <c r="I867" s="1753" t="s">
        <v>2246</v>
      </c>
      <c r="J867" t="s">
        <v>17</v>
      </c>
      <c r="K867" t="s">
        <v>3517</v>
      </c>
      <c r="L867" t="s">
        <v>3518</v>
      </c>
      <c r="M867" t="s">
        <v>3519</v>
      </c>
      <c r="N867" t="s">
        <v>394</v>
      </c>
    </row>
    <row r="868" spans="1:14" ht="11.25" customHeight="1">
      <c r="A868" s="1753" t="s">
        <v>2199</v>
      </c>
      <c r="B868" s="1753" t="s">
        <v>14</v>
      </c>
      <c r="C868" s="1753" t="s">
        <v>3587</v>
      </c>
      <c r="D868" s="1753" t="s">
        <v>3588</v>
      </c>
      <c r="E868" s="1753" t="s">
        <v>3589</v>
      </c>
      <c r="F868" s="1753" t="s">
        <v>2306</v>
      </c>
      <c r="G868" s="1753" t="s">
        <v>17</v>
      </c>
      <c r="H868" s="1753" t="s">
        <v>17</v>
      </c>
      <c r="I868" s="1753" t="s">
        <v>3563</v>
      </c>
      <c r="J868" t="s">
        <v>17</v>
      </c>
      <c r="K868" t="s">
        <v>3517</v>
      </c>
      <c r="L868" t="s">
        <v>3518</v>
      </c>
      <c r="M868" t="s">
        <v>3519</v>
      </c>
      <c r="N868" t="s">
        <v>394</v>
      </c>
    </row>
    <row r="869" spans="1:14" ht="11.25" customHeight="1">
      <c r="A869" s="1753" t="s">
        <v>2199</v>
      </c>
      <c r="B869" s="1753" t="s">
        <v>14</v>
      </c>
      <c r="C869" s="1753" t="s">
        <v>2960</v>
      </c>
      <c r="D869" s="1753" t="s">
        <v>2961</v>
      </c>
      <c r="E869" s="1753" t="s">
        <v>2962</v>
      </c>
      <c r="F869" s="1753" t="s">
        <v>2539</v>
      </c>
      <c r="G869" s="1753" t="s">
        <v>2963</v>
      </c>
      <c r="H869" s="1753" t="s">
        <v>17</v>
      </c>
      <c r="I869" s="1753" t="s">
        <v>2330</v>
      </c>
      <c r="J869" t="s">
        <v>17</v>
      </c>
      <c r="K869" t="s">
        <v>3517</v>
      </c>
      <c r="L869" t="s">
        <v>3518</v>
      </c>
      <c r="M869" t="s">
        <v>3519</v>
      </c>
      <c r="N869" t="s">
        <v>394</v>
      </c>
    </row>
    <row r="870" spans="1:14" ht="11.25" customHeight="1">
      <c r="A870" s="1753" t="s">
        <v>2199</v>
      </c>
      <c r="B870" s="1753" t="s">
        <v>14</v>
      </c>
      <c r="C870" s="1753" t="s">
        <v>2973</v>
      </c>
      <c r="D870" s="1753" t="s">
        <v>2974</v>
      </c>
      <c r="E870" s="1753" t="s">
        <v>2975</v>
      </c>
      <c r="F870" s="1753" t="s">
        <v>2380</v>
      </c>
      <c r="G870" s="1753" t="s">
        <v>17</v>
      </c>
      <c r="H870" s="1753" t="s">
        <v>17</v>
      </c>
      <c r="I870" s="1753" t="s">
        <v>2976</v>
      </c>
      <c r="J870" t="s">
        <v>17</v>
      </c>
      <c r="K870" t="s">
        <v>3537</v>
      </c>
      <c r="L870" t="s">
        <v>3538</v>
      </c>
      <c r="M870" t="s">
        <v>3539</v>
      </c>
      <c r="N870" t="s">
        <v>394</v>
      </c>
    </row>
    <row r="871" spans="1:14" ht="11.25" customHeight="1">
      <c r="A871" s="1753" t="s">
        <v>2199</v>
      </c>
      <c r="B871" s="1753" t="s">
        <v>14</v>
      </c>
      <c r="C871" s="1753" t="s">
        <v>3488</v>
      </c>
      <c r="D871" s="1753" t="s">
        <v>3489</v>
      </c>
      <c r="E871" s="1753" t="s">
        <v>3490</v>
      </c>
      <c r="F871" s="1753" t="s">
        <v>2424</v>
      </c>
      <c r="G871" s="1753" t="s">
        <v>17</v>
      </c>
      <c r="H871" s="1753" t="s">
        <v>17</v>
      </c>
      <c r="I871" s="1753" t="s">
        <v>2330</v>
      </c>
      <c r="J871" t="s">
        <v>17</v>
      </c>
      <c r="K871" t="s">
        <v>3517</v>
      </c>
      <c r="L871" t="s">
        <v>3518</v>
      </c>
      <c r="M871" t="s">
        <v>3519</v>
      </c>
      <c r="N871" t="s">
        <v>394</v>
      </c>
    </row>
    <row r="872" spans="1:14" ht="11.25" customHeight="1">
      <c r="A872" s="1753" t="s">
        <v>2199</v>
      </c>
      <c r="B872" s="1753" t="s">
        <v>14</v>
      </c>
      <c r="C872" s="1753" t="s">
        <v>3590</v>
      </c>
      <c r="D872" s="1753" t="s">
        <v>3591</v>
      </c>
      <c r="E872" s="1753" t="s">
        <v>3592</v>
      </c>
      <c r="F872" s="1753" t="s">
        <v>2259</v>
      </c>
      <c r="G872" s="1753" t="s">
        <v>17</v>
      </c>
      <c r="H872" s="1753" t="s">
        <v>17</v>
      </c>
      <c r="I872" s="1753" t="s">
        <v>2330</v>
      </c>
      <c r="J872" t="s">
        <v>17</v>
      </c>
      <c r="K872" t="s">
        <v>3537</v>
      </c>
      <c r="L872" t="s">
        <v>3558</v>
      </c>
      <c r="M872" t="s">
        <v>3559</v>
      </c>
      <c r="N872" t="s">
        <v>394</v>
      </c>
    </row>
    <row r="873" spans="1:14" ht="11.25" customHeight="1">
      <c r="A873" s="1753" t="s">
        <v>2199</v>
      </c>
      <c r="B873" s="1753" t="s">
        <v>14</v>
      </c>
      <c r="C873" s="1753" t="s">
        <v>3593</v>
      </c>
      <c r="D873" s="1753" t="s">
        <v>3594</v>
      </c>
      <c r="E873" s="1753" t="s">
        <v>3595</v>
      </c>
      <c r="F873" s="1753" t="s">
        <v>2388</v>
      </c>
      <c r="G873" s="1753" t="s">
        <v>17</v>
      </c>
      <c r="H873" s="1753" t="s">
        <v>17</v>
      </c>
      <c r="I873" s="1753" t="s">
        <v>2469</v>
      </c>
      <c r="J873" t="s">
        <v>17</v>
      </c>
      <c r="K873" t="s">
        <v>3517</v>
      </c>
      <c r="L873" t="s">
        <v>3556</v>
      </c>
      <c r="M873" t="s">
        <v>3557</v>
      </c>
      <c r="N873" t="s">
        <v>394</v>
      </c>
    </row>
    <row r="874" spans="1:14" ht="11.25" customHeight="1">
      <c r="A874" s="1753" t="s">
        <v>2199</v>
      </c>
      <c r="B874" s="1753" t="s">
        <v>14</v>
      </c>
      <c r="C874" s="1753" t="s">
        <v>3491</v>
      </c>
      <c r="D874" s="1753" t="s">
        <v>3492</v>
      </c>
      <c r="E874" s="1753" t="s">
        <v>3493</v>
      </c>
      <c r="F874" s="1753" t="s">
        <v>2259</v>
      </c>
      <c r="G874" s="1753" t="s">
        <v>17</v>
      </c>
      <c r="H874" s="1753" t="s">
        <v>17</v>
      </c>
      <c r="I874" s="1753" t="s">
        <v>3494</v>
      </c>
      <c r="J874" t="s">
        <v>17</v>
      </c>
      <c r="K874" t="s">
        <v>3537</v>
      </c>
      <c r="L874" t="s">
        <v>3538</v>
      </c>
      <c r="M874" t="s">
        <v>3539</v>
      </c>
      <c r="N874" t="s">
        <v>394</v>
      </c>
    </row>
    <row r="875" spans="1:14" ht="11.25" customHeight="1">
      <c r="A875" s="1753" t="s">
        <v>2199</v>
      </c>
      <c r="B875" s="1753" t="s">
        <v>14</v>
      </c>
      <c r="C875" s="1753" t="s">
        <v>3497</v>
      </c>
      <c r="D875" s="1753" t="s">
        <v>3498</v>
      </c>
      <c r="E875" s="1753" t="s">
        <v>3499</v>
      </c>
      <c r="F875" s="1753" t="s">
        <v>2732</v>
      </c>
      <c r="G875" s="1753" t="s">
        <v>17</v>
      </c>
      <c r="H875" s="1753" t="s">
        <v>17</v>
      </c>
      <c r="I875" s="1753" t="s">
        <v>2330</v>
      </c>
      <c r="J875" t="s">
        <v>17</v>
      </c>
      <c r="K875" t="s">
        <v>3517</v>
      </c>
      <c r="L875" t="s">
        <v>3518</v>
      </c>
      <c r="M875" t="s">
        <v>3519</v>
      </c>
      <c r="N875" t="s">
        <v>394</v>
      </c>
    </row>
    <row r="876" spans="1:14" ht="11.25" customHeight="1">
      <c r="A876" s="1753" t="s">
        <v>2199</v>
      </c>
      <c r="B876" s="1753" t="s">
        <v>14</v>
      </c>
      <c r="C876" s="1753" t="s">
        <v>3500</v>
      </c>
      <c r="D876" s="1753" t="s">
        <v>3501</v>
      </c>
      <c r="E876" s="1753" t="s">
        <v>3502</v>
      </c>
      <c r="F876" s="1753" t="s">
        <v>3503</v>
      </c>
      <c r="G876" s="1753" t="s">
        <v>17</v>
      </c>
      <c r="H876" s="1753" t="s">
        <v>17</v>
      </c>
      <c r="I876" s="1753" t="s">
        <v>2330</v>
      </c>
      <c r="J876" t="s">
        <v>17</v>
      </c>
      <c r="K876" t="s">
        <v>3517</v>
      </c>
      <c r="L876" t="s">
        <v>3518</v>
      </c>
      <c r="M876" t="s">
        <v>3519</v>
      </c>
      <c r="N876" t="s">
        <v>394</v>
      </c>
    </row>
    <row r="877" spans="1:14" ht="11.25" customHeight="1">
      <c r="A877" s="1753" t="s">
        <v>2199</v>
      </c>
      <c r="B877" s="1753" t="s">
        <v>14</v>
      </c>
      <c r="C877" s="1753" t="s">
        <v>3079</v>
      </c>
      <c r="D877" s="1753" t="s">
        <v>3080</v>
      </c>
      <c r="E877" s="1753" t="s">
        <v>3081</v>
      </c>
      <c r="F877" s="1753" t="s">
        <v>2539</v>
      </c>
      <c r="G877" s="1753" t="s">
        <v>17</v>
      </c>
      <c r="H877" s="1753" t="s">
        <v>17</v>
      </c>
      <c r="I877" s="1753" t="s">
        <v>2330</v>
      </c>
      <c r="J877" t="s">
        <v>17</v>
      </c>
      <c r="K877" t="s">
        <v>3517</v>
      </c>
      <c r="L877" t="s">
        <v>3518</v>
      </c>
      <c r="M877" t="s">
        <v>3519</v>
      </c>
      <c r="N877" t="s">
        <v>394</v>
      </c>
    </row>
    <row r="878" spans="1:14" ht="11.25" customHeight="1">
      <c r="A878" s="1753" t="s">
        <v>2199</v>
      </c>
      <c r="B878" s="1753" t="s">
        <v>14</v>
      </c>
      <c r="C878" s="1753" t="s">
        <v>3082</v>
      </c>
      <c r="D878" s="1753" t="s">
        <v>3083</v>
      </c>
      <c r="E878" s="1753" t="s">
        <v>3084</v>
      </c>
      <c r="F878" s="1753" t="s">
        <v>2273</v>
      </c>
      <c r="G878" s="1753" t="s">
        <v>17</v>
      </c>
      <c r="H878" s="1753" t="s">
        <v>17</v>
      </c>
      <c r="I878" s="1753" t="s">
        <v>2464</v>
      </c>
      <c r="J878" t="s">
        <v>17</v>
      </c>
      <c r="K878" t="s">
        <v>3517</v>
      </c>
      <c r="L878" t="s">
        <v>3518</v>
      </c>
      <c r="M878" t="s">
        <v>3519</v>
      </c>
      <c r="N878" t="s">
        <v>394</v>
      </c>
    </row>
    <row r="879" spans="1:14" ht="11.25" customHeight="1">
      <c r="A879" s="1753" t="s">
        <v>2199</v>
      </c>
      <c r="B879" s="1753" t="s">
        <v>14</v>
      </c>
      <c r="C879" s="1753" t="s">
        <v>3596</v>
      </c>
      <c r="D879" s="1753" t="s">
        <v>3597</v>
      </c>
      <c r="E879" s="1753" t="s">
        <v>3598</v>
      </c>
      <c r="F879" s="1753" t="s">
        <v>2255</v>
      </c>
      <c r="G879" s="1753" t="s">
        <v>17</v>
      </c>
      <c r="H879" s="1753" t="s">
        <v>17</v>
      </c>
      <c r="I879" s="1753" t="s">
        <v>2246</v>
      </c>
      <c r="J879" t="s">
        <v>17</v>
      </c>
      <c r="K879" t="s">
        <v>3517</v>
      </c>
      <c r="L879" t="s">
        <v>3518</v>
      </c>
      <c r="M879" t="s">
        <v>3519</v>
      </c>
      <c r="N879" t="s">
        <v>394</v>
      </c>
    </row>
    <row r="880" spans="1:14" ht="11.25" customHeight="1">
      <c r="A880" s="1753" t="s">
        <v>2199</v>
      </c>
      <c r="B880" s="1753" t="s">
        <v>14</v>
      </c>
      <c r="C880" s="1753" t="s">
        <v>3089</v>
      </c>
      <c r="D880" s="1753" t="s">
        <v>3090</v>
      </c>
      <c r="E880" s="1753" t="s">
        <v>3091</v>
      </c>
      <c r="F880" s="1753" t="s">
        <v>3092</v>
      </c>
      <c r="G880" s="1753" t="s">
        <v>17</v>
      </c>
      <c r="H880" s="1753" t="s">
        <v>17</v>
      </c>
      <c r="I880" s="1753" t="s">
        <v>3599</v>
      </c>
      <c r="J880" t="s">
        <v>17</v>
      </c>
      <c r="K880" t="s">
        <v>3537</v>
      </c>
      <c r="L880" t="s">
        <v>3538</v>
      </c>
      <c r="M880" t="s">
        <v>3539</v>
      </c>
      <c r="N880" t="s">
        <v>394</v>
      </c>
    </row>
    <row r="881" spans="1:14" ht="11.25" customHeight="1">
      <c r="A881" s="1753" t="s">
        <v>2199</v>
      </c>
      <c r="B881" s="1753" t="s">
        <v>14</v>
      </c>
      <c r="C881" s="1753" t="s">
        <v>3093</v>
      </c>
      <c r="D881" s="1753" t="s">
        <v>3094</v>
      </c>
      <c r="E881" s="1753" t="s">
        <v>3095</v>
      </c>
      <c r="F881" s="1753" t="s">
        <v>2255</v>
      </c>
      <c r="G881" s="1753" t="s">
        <v>17</v>
      </c>
      <c r="H881" s="1753" t="s">
        <v>17</v>
      </c>
      <c r="I881" s="1753" t="s">
        <v>2246</v>
      </c>
      <c r="J881" t="s">
        <v>17</v>
      </c>
      <c r="K881" t="s">
        <v>3517</v>
      </c>
      <c r="L881" t="s">
        <v>3518</v>
      </c>
      <c r="M881" t="s">
        <v>3519</v>
      </c>
      <c r="N881" t="s">
        <v>394</v>
      </c>
    </row>
    <row r="882" spans="1:14" ht="11.25" customHeight="1">
      <c r="A882" s="1753" t="s">
        <v>2199</v>
      </c>
      <c r="B882" s="1753" t="s">
        <v>14</v>
      </c>
      <c r="C882" s="1753" t="s">
        <v>3102</v>
      </c>
      <c r="D882" s="1753" t="s">
        <v>3103</v>
      </c>
      <c r="E882" s="1753" t="s">
        <v>3104</v>
      </c>
      <c r="F882" s="1753" t="s">
        <v>2380</v>
      </c>
      <c r="G882" s="1753" t="s">
        <v>17</v>
      </c>
      <c r="H882" s="1753" t="s">
        <v>17</v>
      </c>
      <c r="I882" s="1753" t="s">
        <v>3105</v>
      </c>
      <c r="J882" t="s">
        <v>17</v>
      </c>
      <c r="K882" t="s">
        <v>3524</v>
      </c>
      <c r="L882" t="s">
        <v>3525</v>
      </c>
      <c r="M882" t="s">
        <v>3526</v>
      </c>
      <c r="N882" t="s">
        <v>394</v>
      </c>
    </row>
    <row r="883" spans="1:14" ht="11.25" customHeight="1">
      <c r="A883" s="1753" t="s">
        <v>2199</v>
      </c>
      <c r="B883" s="1753" t="s">
        <v>14</v>
      </c>
      <c r="C883" s="1753" t="s">
        <v>3106</v>
      </c>
      <c r="D883" s="1753" t="s">
        <v>3107</v>
      </c>
      <c r="E883" s="1753" t="s">
        <v>3108</v>
      </c>
      <c r="F883" s="1753" t="s">
        <v>2670</v>
      </c>
      <c r="G883" s="1753" t="s">
        <v>17</v>
      </c>
      <c r="H883" s="1753" t="s">
        <v>17</v>
      </c>
      <c r="I883" s="1753" t="s">
        <v>2452</v>
      </c>
      <c r="J883" t="s">
        <v>17</v>
      </c>
      <c r="K883" t="s">
        <v>3537</v>
      </c>
      <c r="L883" t="s">
        <v>3538</v>
      </c>
      <c r="M883" t="s">
        <v>3539</v>
      </c>
      <c r="N883" t="s">
        <v>394</v>
      </c>
    </row>
    <row r="884" spans="1:14" ht="11.25" customHeight="1">
      <c r="A884" s="1753" t="s">
        <v>2199</v>
      </c>
      <c r="B884" s="1753" t="s">
        <v>14</v>
      </c>
      <c r="C884" s="1753" t="s">
        <v>3505</v>
      </c>
      <c r="D884" s="1753" t="s">
        <v>3506</v>
      </c>
      <c r="E884" s="1753" t="s">
        <v>3507</v>
      </c>
      <c r="F884" s="1753" t="s">
        <v>2705</v>
      </c>
      <c r="G884" s="1753" t="s">
        <v>17</v>
      </c>
      <c r="H884" s="1753" t="s">
        <v>17</v>
      </c>
      <c r="I884" s="1753" t="s">
        <v>2246</v>
      </c>
      <c r="J884" t="s">
        <v>17</v>
      </c>
      <c r="K884" t="s">
        <v>3537</v>
      </c>
      <c r="L884" t="s">
        <v>3538</v>
      </c>
      <c r="M884" t="s">
        <v>3539</v>
      </c>
      <c r="N884" t="s">
        <v>394</v>
      </c>
    </row>
    <row r="885" spans="1:14" ht="11.25" customHeight="1">
      <c r="A885" s="1753" t="s">
        <v>2199</v>
      </c>
      <c r="B885" s="1753" t="s">
        <v>14</v>
      </c>
      <c r="C885" s="1753" t="s">
        <v>3508</v>
      </c>
      <c r="D885" s="1753" t="s">
        <v>3509</v>
      </c>
      <c r="E885" s="1753" t="s">
        <v>3510</v>
      </c>
      <c r="F885" s="1753" t="s">
        <v>2457</v>
      </c>
      <c r="G885" s="1753" t="s">
        <v>3511</v>
      </c>
      <c r="H885" s="1753" t="s">
        <v>17</v>
      </c>
      <c r="I885" s="1753" t="s">
        <v>2330</v>
      </c>
      <c r="J885" t="s">
        <v>17</v>
      </c>
      <c r="K885" t="s">
        <v>3537</v>
      </c>
      <c r="L885" t="s">
        <v>3538</v>
      </c>
      <c r="M885" t="s">
        <v>3539</v>
      </c>
      <c r="N885" t="s">
        <v>394</v>
      </c>
    </row>
    <row r="886" spans="1:14" ht="11.25" customHeight="1">
      <c r="A886" s="1753" t="s">
        <v>2199</v>
      </c>
      <c r="B886" s="1753" t="s">
        <v>14</v>
      </c>
      <c r="C886" s="1753" t="s">
        <v>3113</v>
      </c>
      <c r="D886" s="1753" t="s">
        <v>3114</v>
      </c>
      <c r="E886" s="1753" t="s">
        <v>3115</v>
      </c>
      <c r="F886" s="1753" t="s">
        <v>2457</v>
      </c>
      <c r="G886" s="1753" t="s">
        <v>17</v>
      </c>
      <c r="H886" s="1753" t="s">
        <v>17</v>
      </c>
      <c r="I886" s="1753" t="s">
        <v>2330</v>
      </c>
      <c r="J886" t="s">
        <v>17</v>
      </c>
      <c r="K886" t="s">
        <v>3537</v>
      </c>
      <c r="L886" t="s">
        <v>3538</v>
      </c>
      <c r="M886" t="s">
        <v>3539</v>
      </c>
      <c r="N886" t="s">
        <v>394</v>
      </c>
    </row>
    <row r="887" spans="1:14" ht="11.25" customHeight="1">
      <c r="A887" s="1753" t="s">
        <v>2199</v>
      </c>
      <c r="B887" s="1753" t="s">
        <v>14</v>
      </c>
      <c r="C887" s="1753" t="s">
        <v>3120</v>
      </c>
      <c r="D887" s="1753" t="s">
        <v>3121</v>
      </c>
      <c r="E887" s="1753" t="s">
        <v>3122</v>
      </c>
      <c r="F887" s="1753" t="s">
        <v>3123</v>
      </c>
      <c r="G887" s="1753" t="s">
        <v>17</v>
      </c>
      <c r="H887" s="1753" t="s">
        <v>17</v>
      </c>
      <c r="I887" s="1753" t="s">
        <v>3124</v>
      </c>
      <c r="J887" t="s">
        <v>17</v>
      </c>
      <c r="K887" t="s">
        <v>3517</v>
      </c>
      <c r="L887" t="s">
        <v>3518</v>
      </c>
      <c r="M887" t="s">
        <v>3519</v>
      </c>
      <c r="N887" t="s">
        <v>394</v>
      </c>
    </row>
    <row r="888" spans="1:14" ht="11.25" customHeight="1">
      <c r="A888" s="1753" t="s">
        <v>2199</v>
      </c>
      <c r="B888" s="1753" t="s">
        <v>14</v>
      </c>
      <c r="C888" s="1753" t="s">
        <v>3120</v>
      </c>
      <c r="D888" s="1753" t="s">
        <v>3121</v>
      </c>
      <c r="E888" s="1753" t="s">
        <v>3122</v>
      </c>
      <c r="F888" s="1753" t="s">
        <v>3123</v>
      </c>
      <c r="G888" s="1753" t="s">
        <v>17</v>
      </c>
      <c r="H888" s="1753" t="s">
        <v>17</v>
      </c>
      <c r="I888" s="1753" t="s">
        <v>2330</v>
      </c>
      <c r="J888" t="s">
        <v>17</v>
      </c>
      <c r="K888" t="s">
        <v>3517</v>
      </c>
      <c r="L888" t="s">
        <v>3518</v>
      </c>
      <c r="M888" t="s">
        <v>3519</v>
      </c>
      <c r="N888" t="s">
        <v>394</v>
      </c>
    </row>
    <row r="889" spans="1:14" ht="11.25" customHeight="1">
      <c r="A889" s="1753" t="s">
        <v>2199</v>
      </c>
      <c r="B889" s="1753" t="s">
        <v>14</v>
      </c>
      <c r="C889" s="1753" t="s">
        <v>3125</v>
      </c>
      <c r="D889" s="1753" t="s">
        <v>3126</v>
      </c>
      <c r="E889" s="1753" t="s">
        <v>3127</v>
      </c>
      <c r="F889" s="1753" t="s">
        <v>2351</v>
      </c>
      <c r="G889" s="1753" t="s">
        <v>17</v>
      </c>
      <c r="H889" s="1753" t="s">
        <v>17</v>
      </c>
      <c r="I889" s="1753" t="s">
        <v>3128</v>
      </c>
      <c r="J889" t="s">
        <v>17</v>
      </c>
      <c r="K889" t="s">
        <v>3517</v>
      </c>
      <c r="L889" t="s">
        <v>3518</v>
      </c>
      <c r="M889" t="s">
        <v>3519</v>
      </c>
      <c r="N889" t="s">
        <v>394</v>
      </c>
    </row>
    <row r="890" spans="1:14" ht="11.25" customHeight="1">
      <c r="A890" s="1753" t="s">
        <v>2199</v>
      </c>
      <c r="B890" s="1753" t="s">
        <v>14</v>
      </c>
      <c r="C890" s="1753" t="s">
        <v>3134</v>
      </c>
      <c r="D890" s="1753" t="s">
        <v>3135</v>
      </c>
      <c r="E890" s="1753" t="s">
        <v>3136</v>
      </c>
      <c r="F890" s="1753" t="s">
        <v>2259</v>
      </c>
      <c r="G890" s="1753" t="s">
        <v>17</v>
      </c>
      <c r="H890" s="1753" t="s">
        <v>17</v>
      </c>
      <c r="I890" s="1753" t="s">
        <v>2246</v>
      </c>
      <c r="J890" t="s">
        <v>17</v>
      </c>
      <c r="K890" t="s">
        <v>3537</v>
      </c>
      <c r="L890" t="s">
        <v>3558</v>
      </c>
      <c r="M890" t="s">
        <v>3559</v>
      </c>
      <c r="N890" t="s">
        <v>394</v>
      </c>
    </row>
    <row r="891" spans="1:14" ht="11.25" customHeight="1">
      <c r="A891" s="1753" t="s">
        <v>2199</v>
      </c>
      <c r="B891" s="1753" t="s">
        <v>14</v>
      </c>
      <c r="C891" s="1753" t="s">
        <v>3600</v>
      </c>
      <c r="D891" s="1753" t="s">
        <v>3601</v>
      </c>
      <c r="E891" s="1753" t="s">
        <v>3602</v>
      </c>
      <c r="F891" s="1753" t="s">
        <v>2380</v>
      </c>
      <c r="G891" s="1753" t="s">
        <v>17</v>
      </c>
      <c r="H891" s="1753" t="s">
        <v>17</v>
      </c>
      <c r="I891" s="1753" t="s">
        <v>3603</v>
      </c>
      <c r="J891" t="s">
        <v>17</v>
      </c>
      <c r="K891" t="s">
        <v>3534</v>
      </c>
      <c r="L891" t="s">
        <v>3535</v>
      </c>
      <c r="M891" t="s">
        <v>3536</v>
      </c>
      <c r="N891" t="s">
        <v>394</v>
      </c>
    </row>
    <row r="892" spans="1:14" ht="11.25" customHeight="1">
      <c r="A892" s="1753" t="s">
        <v>2199</v>
      </c>
      <c r="B892" s="1753" t="s">
        <v>14</v>
      </c>
      <c r="C892" s="1753" t="s">
        <v>3150</v>
      </c>
      <c r="D892" s="1753" t="s">
        <v>3151</v>
      </c>
      <c r="E892" s="1753" t="s">
        <v>3152</v>
      </c>
      <c r="F892" s="1753" t="s">
        <v>2665</v>
      </c>
      <c r="G892" s="1753" t="s">
        <v>3153</v>
      </c>
      <c r="H892" s="1753" t="s">
        <v>17</v>
      </c>
      <c r="I892" s="1753" t="s">
        <v>2330</v>
      </c>
      <c r="J892" t="s">
        <v>17</v>
      </c>
      <c r="K892" t="s">
        <v>3517</v>
      </c>
      <c r="L892" t="s">
        <v>3518</v>
      </c>
      <c r="M892" t="s">
        <v>3519</v>
      </c>
      <c r="N892" t="s">
        <v>394</v>
      </c>
    </row>
    <row r="893" spans="1:14" ht="11.25" customHeight="1">
      <c r="A893" s="1753" t="s">
        <v>2199</v>
      </c>
      <c r="B893" s="1753" t="s">
        <v>14</v>
      </c>
      <c r="C893" s="1753" t="s">
        <v>3604</v>
      </c>
      <c r="D893" s="1753" t="s">
        <v>3605</v>
      </c>
      <c r="E893" s="1753" t="s">
        <v>3606</v>
      </c>
      <c r="F893" s="1753" t="s">
        <v>2255</v>
      </c>
      <c r="G893" s="1753" t="s">
        <v>17</v>
      </c>
      <c r="H893" s="1753" t="s">
        <v>17</v>
      </c>
      <c r="I893" s="1753" t="s">
        <v>3607</v>
      </c>
      <c r="J893" t="s">
        <v>17</v>
      </c>
      <c r="K893" t="s">
        <v>3517</v>
      </c>
      <c r="L893" t="s">
        <v>3518</v>
      </c>
      <c r="M893" t="s">
        <v>3519</v>
      </c>
      <c r="N893" t="s">
        <v>394</v>
      </c>
    </row>
    <row r="894" spans="1:14" ht="11.25" customHeight="1">
      <c r="A894" s="1753" t="s">
        <v>2199</v>
      </c>
      <c r="B894" s="1753" t="s">
        <v>14</v>
      </c>
      <c r="C894" s="1753" t="s">
        <v>3608</v>
      </c>
      <c r="D894" s="1753" t="s">
        <v>3609</v>
      </c>
      <c r="E894" s="1753" t="s">
        <v>3610</v>
      </c>
      <c r="F894" s="1753" t="s">
        <v>2203</v>
      </c>
      <c r="G894" s="1753" t="s">
        <v>17</v>
      </c>
      <c r="H894" s="1753" t="s">
        <v>17</v>
      </c>
      <c r="I894" s="1753" t="s">
        <v>2563</v>
      </c>
      <c r="J894" t="s">
        <v>17</v>
      </c>
      <c r="K894" t="s">
        <v>285</v>
      </c>
      <c r="L894" t="s">
        <v>285</v>
      </c>
      <c r="M894" t="s">
        <v>3611</v>
      </c>
      <c r="N894" t="s">
        <v>396</v>
      </c>
    </row>
    <row r="895" spans="1:14" ht="11.25" customHeight="1">
      <c r="A895" s="1753" t="s">
        <v>2199</v>
      </c>
      <c r="B895" s="1753" t="s">
        <v>14</v>
      </c>
      <c r="C895" s="1753" t="s">
        <v>3608</v>
      </c>
      <c r="D895" s="1753" t="s">
        <v>3609</v>
      </c>
      <c r="E895" s="1753" t="s">
        <v>3610</v>
      </c>
      <c r="F895" s="1753" t="s">
        <v>2203</v>
      </c>
      <c r="G895" s="1753" t="s">
        <v>17</v>
      </c>
      <c r="H895" s="1753" t="s">
        <v>17</v>
      </c>
      <c r="I895" s="1753" t="s">
        <v>2492</v>
      </c>
      <c r="J895" t="s">
        <v>17</v>
      </c>
      <c r="K895" t="s">
        <v>285</v>
      </c>
      <c r="L895" t="s">
        <v>285</v>
      </c>
      <c r="M895" t="s">
        <v>3611</v>
      </c>
      <c r="N895" t="s">
        <v>396</v>
      </c>
    </row>
    <row r="896" spans="1:14" ht="11.25" customHeight="1">
      <c r="A896" s="1753" t="s">
        <v>2199</v>
      </c>
      <c r="B896" s="1753" t="s">
        <v>14</v>
      </c>
      <c r="C896" s="1753" t="s">
        <v>3608</v>
      </c>
      <c r="D896" s="1753" t="s">
        <v>3609</v>
      </c>
      <c r="E896" s="1753" t="s">
        <v>3610</v>
      </c>
      <c r="F896" s="1753" t="s">
        <v>2203</v>
      </c>
      <c r="G896" s="1753" t="s">
        <v>17</v>
      </c>
      <c r="H896" s="1753" t="s">
        <v>17</v>
      </c>
      <c r="I896" s="1753" t="s">
        <v>2246</v>
      </c>
      <c r="J896" t="s">
        <v>17</v>
      </c>
      <c r="K896" t="s">
        <v>285</v>
      </c>
      <c r="L896" t="s">
        <v>285</v>
      </c>
      <c r="M896" t="s">
        <v>3611</v>
      </c>
      <c r="N896" t="s">
        <v>396</v>
      </c>
    </row>
    <row r="897" spans="1:14" ht="11.25" customHeight="1">
      <c r="A897" s="1753" t="s">
        <v>2199</v>
      </c>
      <c r="B897" s="1753" t="s">
        <v>14</v>
      </c>
      <c r="C897" s="1753" t="s">
        <v>3608</v>
      </c>
      <c r="D897" s="1753" t="s">
        <v>3609</v>
      </c>
      <c r="E897" s="1753" t="s">
        <v>3610</v>
      </c>
      <c r="F897" s="1753" t="s">
        <v>2203</v>
      </c>
      <c r="G897" s="1753" t="s">
        <v>17</v>
      </c>
      <c r="H897" s="1753" t="s">
        <v>17</v>
      </c>
      <c r="I897" s="1753" t="s">
        <v>2330</v>
      </c>
      <c r="J897" t="s">
        <v>17</v>
      </c>
      <c r="K897" t="s">
        <v>1062</v>
      </c>
      <c r="L897" t="s">
        <v>3612</v>
      </c>
      <c r="M897" t="s">
        <v>3613</v>
      </c>
      <c r="N897" t="s">
        <v>396</v>
      </c>
    </row>
    <row r="898" spans="1:14" ht="11.25" customHeight="1">
      <c r="A898" s="1753" t="s">
        <v>2199</v>
      </c>
      <c r="B898" s="1753" t="s">
        <v>14</v>
      </c>
      <c r="C898" s="1753" t="s">
        <v>3608</v>
      </c>
      <c r="D898" s="1753" t="s">
        <v>3609</v>
      </c>
      <c r="E898" s="1753" t="s">
        <v>3610</v>
      </c>
      <c r="F898" s="1753" t="s">
        <v>2203</v>
      </c>
      <c r="G898" s="1753" t="s">
        <v>17</v>
      </c>
      <c r="H898" s="1753" t="s">
        <v>17</v>
      </c>
      <c r="I898" s="1753" t="s">
        <v>2330</v>
      </c>
      <c r="J898" t="s">
        <v>17</v>
      </c>
      <c r="K898" t="s">
        <v>285</v>
      </c>
      <c r="L898" t="s">
        <v>3612</v>
      </c>
      <c r="M898" t="s">
        <v>3613</v>
      </c>
      <c r="N898" t="s">
        <v>396</v>
      </c>
    </row>
    <row r="899" spans="1:14" ht="11.25" customHeight="1">
      <c r="A899" s="1753" t="s">
        <v>2199</v>
      </c>
      <c r="B899" s="1753" t="s">
        <v>14</v>
      </c>
      <c r="C899" s="1753" t="s">
        <v>3614</v>
      </c>
      <c r="D899" s="1753" t="s">
        <v>3615</v>
      </c>
      <c r="E899" s="1753" t="s">
        <v>3616</v>
      </c>
      <c r="F899" s="1753" t="s">
        <v>50</v>
      </c>
      <c r="G899" s="1753" t="s">
        <v>17</v>
      </c>
      <c r="H899" s="1753" t="s">
        <v>17</v>
      </c>
      <c r="I899" s="1753" t="s">
        <v>3617</v>
      </c>
      <c r="J899" t="s">
        <v>17</v>
      </c>
      <c r="K899" t="s">
        <v>3618</v>
      </c>
      <c r="L899" t="s">
        <v>3618</v>
      </c>
      <c r="M899" t="s">
        <v>3619</v>
      </c>
      <c r="N899" t="s">
        <v>396</v>
      </c>
    </row>
    <row r="900" spans="1:14" ht="11.25" customHeight="1">
      <c r="A900" s="1753" t="s">
        <v>2199</v>
      </c>
      <c r="B900" s="1753" t="s">
        <v>14</v>
      </c>
      <c r="C900" s="1753" t="s">
        <v>3620</v>
      </c>
      <c r="D900" s="1753" t="s">
        <v>3621</v>
      </c>
      <c r="E900" s="1753" t="s">
        <v>3622</v>
      </c>
      <c r="F900" s="1753" t="s">
        <v>2273</v>
      </c>
      <c r="G900" s="1753" t="s">
        <v>17</v>
      </c>
      <c r="H900" s="1753" t="s">
        <v>17</v>
      </c>
      <c r="I900" s="1753" t="s">
        <v>3623</v>
      </c>
      <c r="J900" t="s">
        <v>17</v>
      </c>
      <c r="K900" t="s">
        <v>3618</v>
      </c>
      <c r="L900" t="s">
        <v>3618</v>
      </c>
      <c r="M900" t="s">
        <v>3619</v>
      </c>
      <c r="N900" t="s">
        <v>396</v>
      </c>
    </row>
    <row r="901" spans="1:14" ht="11.25" customHeight="1">
      <c r="A901" s="1753" t="s">
        <v>2199</v>
      </c>
      <c r="B901" s="1753" t="s">
        <v>14</v>
      </c>
      <c r="C901" s="1753" t="s">
        <v>3624</v>
      </c>
      <c r="D901" s="1753" t="s">
        <v>3625</v>
      </c>
      <c r="E901" s="1753" t="s">
        <v>3626</v>
      </c>
      <c r="F901" s="1753" t="s">
        <v>2746</v>
      </c>
      <c r="G901" s="1753" t="s">
        <v>17</v>
      </c>
      <c r="H901" s="1753" t="s">
        <v>17</v>
      </c>
      <c r="I901" s="1753" t="s">
        <v>2330</v>
      </c>
      <c r="J901" t="s">
        <v>17</v>
      </c>
      <c r="K901" t="s">
        <v>1062</v>
      </c>
      <c r="L901" t="s">
        <v>1062</v>
      </c>
      <c r="M901" t="s">
        <v>3627</v>
      </c>
      <c r="N901" t="s">
        <v>396</v>
      </c>
    </row>
    <row r="902" spans="1:14" ht="11.25" customHeight="1">
      <c r="A902" s="1753" t="s">
        <v>2199</v>
      </c>
      <c r="B902" s="1753" t="s">
        <v>14</v>
      </c>
      <c r="C902" s="1753" t="s">
        <v>3628</v>
      </c>
      <c r="D902" s="1753" t="s">
        <v>3629</v>
      </c>
      <c r="E902" s="1753" t="s">
        <v>3630</v>
      </c>
      <c r="F902" s="1753" t="s">
        <v>3631</v>
      </c>
      <c r="G902" s="1753" t="s">
        <v>17</v>
      </c>
      <c r="H902" s="1753" t="s">
        <v>17</v>
      </c>
      <c r="I902" s="1753" t="s">
        <v>3551</v>
      </c>
      <c r="J902" t="s">
        <v>17</v>
      </c>
      <c r="K902" t="s">
        <v>3618</v>
      </c>
      <c r="L902" t="s">
        <v>3618</v>
      </c>
      <c r="M902" t="s">
        <v>3619</v>
      </c>
      <c r="N902" t="s">
        <v>396</v>
      </c>
    </row>
    <row r="903" spans="1:14" ht="11.25" customHeight="1">
      <c r="A903" s="1753" t="s">
        <v>2199</v>
      </c>
      <c r="B903" s="1753" t="s">
        <v>14</v>
      </c>
      <c r="C903" s="1753" t="s">
        <v>3632</v>
      </c>
      <c r="D903" s="1753" t="s">
        <v>3633</v>
      </c>
      <c r="E903" s="1753" t="s">
        <v>3634</v>
      </c>
      <c r="F903" s="1753" t="s">
        <v>2301</v>
      </c>
      <c r="G903" s="1753" t="s">
        <v>17</v>
      </c>
      <c r="H903" s="1753" t="s">
        <v>17</v>
      </c>
      <c r="I903" s="1753" t="s">
        <v>3623</v>
      </c>
      <c r="J903" t="s">
        <v>17</v>
      </c>
      <c r="K903" t="s">
        <v>3618</v>
      </c>
      <c r="L903" t="s">
        <v>3618</v>
      </c>
      <c r="M903" t="s">
        <v>3619</v>
      </c>
      <c r="N903" t="s">
        <v>396</v>
      </c>
    </row>
    <row r="904" spans="1:14" ht="11.25" customHeight="1">
      <c r="A904" s="1753" t="s">
        <v>2199</v>
      </c>
      <c r="B904" s="1753" t="s">
        <v>14</v>
      </c>
      <c r="C904" s="1753" t="s">
        <v>3635</v>
      </c>
      <c r="D904" s="1753" t="s">
        <v>3636</v>
      </c>
      <c r="E904" s="1753" t="s">
        <v>3637</v>
      </c>
      <c r="F904" s="1753" t="s">
        <v>2474</v>
      </c>
      <c r="G904" s="1753" t="s">
        <v>17</v>
      </c>
      <c r="H904" s="1753" t="s">
        <v>17</v>
      </c>
      <c r="I904" s="1753" t="s">
        <v>3638</v>
      </c>
      <c r="J904" t="s">
        <v>17</v>
      </c>
      <c r="K904" t="s">
        <v>1062</v>
      </c>
      <c r="L904" t="s">
        <v>1062</v>
      </c>
      <c r="M904" t="s">
        <v>3627</v>
      </c>
      <c r="N904" t="s">
        <v>396</v>
      </c>
    </row>
    <row r="905" spans="1:14" ht="11.25" customHeight="1">
      <c r="A905" s="1753" t="s">
        <v>2199</v>
      </c>
      <c r="B905" s="1753" t="s">
        <v>14</v>
      </c>
      <c r="C905" s="1753" t="s">
        <v>3635</v>
      </c>
      <c r="D905" s="1753" t="s">
        <v>3636</v>
      </c>
      <c r="E905" s="1753" t="s">
        <v>3637</v>
      </c>
      <c r="F905" s="1753" t="s">
        <v>2474</v>
      </c>
      <c r="G905" s="1753" t="s">
        <v>17</v>
      </c>
      <c r="H905" s="1753" t="s">
        <v>17</v>
      </c>
      <c r="I905" s="1753" t="s">
        <v>3638</v>
      </c>
      <c r="J905" t="s">
        <v>17</v>
      </c>
      <c r="K905" t="s">
        <v>1062</v>
      </c>
      <c r="L905" t="s">
        <v>3639</v>
      </c>
      <c r="M905" t="s">
        <v>3640</v>
      </c>
      <c r="N905" t="s">
        <v>396</v>
      </c>
    </row>
    <row r="906" spans="1:14" ht="11.25" customHeight="1">
      <c r="A906" s="1753" t="s">
        <v>2199</v>
      </c>
      <c r="B906" s="1753" t="s">
        <v>14</v>
      </c>
      <c r="C906" s="1753" t="s">
        <v>3635</v>
      </c>
      <c r="D906" s="1753" t="s">
        <v>3636</v>
      </c>
      <c r="E906" s="1753" t="s">
        <v>3637</v>
      </c>
      <c r="F906" s="1753" t="s">
        <v>2474</v>
      </c>
      <c r="G906" s="1753" t="s">
        <v>17</v>
      </c>
      <c r="H906" s="1753" t="s">
        <v>17</v>
      </c>
      <c r="I906" s="1753" t="s">
        <v>3638</v>
      </c>
      <c r="J906" t="s">
        <v>17</v>
      </c>
      <c r="K906" t="s">
        <v>1081</v>
      </c>
      <c r="L906" t="s">
        <v>3639</v>
      </c>
      <c r="M906" t="s">
        <v>3640</v>
      </c>
      <c r="N906" t="s">
        <v>396</v>
      </c>
    </row>
    <row r="907" spans="1:14" ht="11.25" customHeight="1">
      <c r="A907" s="1753" t="s">
        <v>2199</v>
      </c>
      <c r="B907" s="1753" t="s">
        <v>14</v>
      </c>
      <c r="C907" s="1753" t="s">
        <v>3635</v>
      </c>
      <c r="D907" s="1753" t="s">
        <v>3636</v>
      </c>
      <c r="E907" s="1753" t="s">
        <v>3637</v>
      </c>
      <c r="F907" s="1753" t="s">
        <v>2474</v>
      </c>
      <c r="G907" s="1753" t="s">
        <v>17</v>
      </c>
      <c r="H907" s="1753" t="s">
        <v>17</v>
      </c>
      <c r="I907" s="1753" t="s">
        <v>2330</v>
      </c>
      <c r="J907" t="s">
        <v>17</v>
      </c>
      <c r="K907" t="s">
        <v>1062</v>
      </c>
      <c r="L907" t="s">
        <v>1062</v>
      </c>
      <c r="M907" t="s">
        <v>3627</v>
      </c>
      <c r="N907" t="s">
        <v>396</v>
      </c>
    </row>
    <row r="908" spans="1:14" ht="11.25" customHeight="1">
      <c r="A908" s="1753" t="s">
        <v>2199</v>
      </c>
      <c r="B908" s="1753" t="s">
        <v>14</v>
      </c>
      <c r="C908" s="1753" t="s">
        <v>3641</v>
      </c>
      <c r="D908" s="1753" t="s">
        <v>3642</v>
      </c>
      <c r="E908" s="1753" t="s">
        <v>3643</v>
      </c>
      <c r="F908" s="1753" t="s">
        <v>3644</v>
      </c>
      <c r="G908" s="1753" t="s">
        <v>3645</v>
      </c>
      <c r="H908" s="1753" t="s">
        <v>17</v>
      </c>
      <c r="I908" s="1753" t="s">
        <v>2563</v>
      </c>
      <c r="J908" t="s">
        <v>17</v>
      </c>
      <c r="K908" t="s">
        <v>285</v>
      </c>
      <c r="L908" t="s">
        <v>285</v>
      </c>
      <c r="M908" t="s">
        <v>3611</v>
      </c>
      <c r="N908" t="s">
        <v>396</v>
      </c>
    </row>
    <row r="909" spans="1:14" ht="11.25" customHeight="1">
      <c r="A909" s="1753" t="s">
        <v>2199</v>
      </c>
      <c r="B909" s="1753" t="s">
        <v>14</v>
      </c>
      <c r="C909" s="1753" t="s">
        <v>3641</v>
      </c>
      <c r="D909" s="1753" t="s">
        <v>3642</v>
      </c>
      <c r="E909" s="1753" t="s">
        <v>3643</v>
      </c>
      <c r="F909" s="1753" t="s">
        <v>3644</v>
      </c>
      <c r="G909" s="1753" t="s">
        <v>3645</v>
      </c>
      <c r="H909" s="1753" t="s">
        <v>17</v>
      </c>
      <c r="I909" s="1753" t="s">
        <v>2492</v>
      </c>
      <c r="J909" t="s">
        <v>17</v>
      </c>
      <c r="K909" t="s">
        <v>285</v>
      </c>
      <c r="L909" t="s">
        <v>285</v>
      </c>
      <c r="M909" t="s">
        <v>3611</v>
      </c>
      <c r="N909" t="s">
        <v>396</v>
      </c>
    </row>
    <row r="910" spans="1:14" ht="11.25" customHeight="1">
      <c r="A910" s="1753" t="s">
        <v>2199</v>
      </c>
      <c r="B910" s="1753" t="s">
        <v>14</v>
      </c>
      <c r="C910" s="1753" t="s">
        <v>3641</v>
      </c>
      <c r="D910" s="1753" t="s">
        <v>3642</v>
      </c>
      <c r="E910" s="1753" t="s">
        <v>3643</v>
      </c>
      <c r="F910" s="1753" t="s">
        <v>3644</v>
      </c>
      <c r="G910" s="1753" t="s">
        <v>3645</v>
      </c>
      <c r="H910" s="1753" t="s">
        <v>17</v>
      </c>
      <c r="I910" s="1753" t="s">
        <v>2330</v>
      </c>
      <c r="J910" t="s">
        <v>17</v>
      </c>
      <c r="K910" t="s">
        <v>285</v>
      </c>
      <c r="L910" t="s">
        <v>285</v>
      </c>
      <c r="M910" t="s">
        <v>3611</v>
      </c>
      <c r="N910" t="s">
        <v>396</v>
      </c>
    </row>
    <row r="911" spans="1:14" ht="11.25" customHeight="1">
      <c r="A911" s="1753" t="s">
        <v>2199</v>
      </c>
      <c r="B911" s="1753" t="s">
        <v>14</v>
      </c>
      <c r="C911" s="1753" t="s">
        <v>3646</v>
      </c>
      <c r="D911" s="1753" t="s">
        <v>3647</v>
      </c>
      <c r="E911" s="1753" t="s">
        <v>3648</v>
      </c>
      <c r="F911" s="1753" t="s">
        <v>2213</v>
      </c>
      <c r="G911" s="1753" t="s">
        <v>17</v>
      </c>
      <c r="H911" s="1753" t="s">
        <v>17</v>
      </c>
      <c r="I911" s="1753" t="s">
        <v>3649</v>
      </c>
      <c r="J911" t="s">
        <v>17</v>
      </c>
      <c r="K911" t="s">
        <v>3618</v>
      </c>
      <c r="L911" t="s">
        <v>3618</v>
      </c>
      <c r="M911" t="s">
        <v>3619</v>
      </c>
      <c r="N911" t="s">
        <v>396</v>
      </c>
    </row>
    <row r="912" spans="1:14" ht="11.25" customHeight="1">
      <c r="A912" s="1753" t="s">
        <v>2199</v>
      </c>
      <c r="B912" s="1753" t="s">
        <v>14</v>
      </c>
      <c r="C912" s="1753" t="s">
        <v>3650</v>
      </c>
      <c r="D912" s="1753" t="s">
        <v>3651</v>
      </c>
      <c r="E912" s="1753" t="s">
        <v>3652</v>
      </c>
      <c r="F912" s="1753" t="s">
        <v>2474</v>
      </c>
      <c r="G912" s="1753" t="s">
        <v>17</v>
      </c>
      <c r="H912" s="1753" t="s">
        <v>17</v>
      </c>
      <c r="I912" s="1753" t="s">
        <v>2563</v>
      </c>
      <c r="J912" t="s">
        <v>17</v>
      </c>
      <c r="K912" t="s">
        <v>285</v>
      </c>
      <c r="L912" t="s">
        <v>285</v>
      </c>
      <c r="M912" t="s">
        <v>3611</v>
      </c>
      <c r="N912" t="s">
        <v>396</v>
      </c>
    </row>
    <row r="913" spans="1:14" ht="11.25" customHeight="1">
      <c r="A913" s="1753" t="s">
        <v>2199</v>
      </c>
      <c r="B913" s="1753" t="s">
        <v>14</v>
      </c>
      <c r="C913" s="1753" t="s">
        <v>3650</v>
      </c>
      <c r="D913" s="1753" t="s">
        <v>3651</v>
      </c>
      <c r="E913" s="1753" t="s">
        <v>3652</v>
      </c>
      <c r="F913" s="1753" t="s">
        <v>2474</v>
      </c>
      <c r="G913" s="1753" t="s">
        <v>17</v>
      </c>
      <c r="H913" s="1753" t="s">
        <v>17</v>
      </c>
      <c r="I913" s="1753" t="s">
        <v>2330</v>
      </c>
      <c r="J913" t="s">
        <v>17</v>
      </c>
      <c r="K913" t="s">
        <v>285</v>
      </c>
      <c r="L913" t="s">
        <v>285</v>
      </c>
      <c r="M913" t="s">
        <v>3611</v>
      </c>
      <c r="N913" t="s">
        <v>396</v>
      </c>
    </row>
    <row r="914" spans="1:14" ht="11.25" customHeight="1">
      <c r="A914" s="1753" t="s">
        <v>2199</v>
      </c>
      <c r="B914" s="1753" t="s">
        <v>14</v>
      </c>
      <c r="C914" s="1753" t="s">
        <v>3653</v>
      </c>
      <c r="D914" s="1753" t="s">
        <v>3654</v>
      </c>
      <c r="E914" s="1753" t="s">
        <v>3655</v>
      </c>
      <c r="F914" s="1753" t="s">
        <v>2203</v>
      </c>
      <c r="G914" s="1753" t="s">
        <v>17</v>
      </c>
      <c r="H914" s="1753" t="s">
        <v>17</v>
      </c>
      <c r="I914" s="1753" t="s">
        <v>2661</v>
      </c>
      <c r="J914" t="s">
        <v>17</v>
      </c>
      <c r="K914" t="s">
        <v>1062</v>
      </c>
      <c r="L914" t="s">
        <v>1062</v>
      </c>
      <c r="M914" t="s">
        <v>3627</v>
      </c>
      <c r="N914" t="s">
        <v>396</v>
      </c>
    </row>
    <row r="915" spans="1:14" ht="11.25" customHeight="1">
      <c r="A915" s="1753" t="s">
        <v>2199</v>
      </c>
      <c r="B915" s="1753" t="s">
        <v>14</v>
      </c>
      <c r="C915" s="1753" t="s">
        <v>3656</v>
      </c>
      <c r="D915" s="1753" t="s">
        <v>3657</v>
      </c>
      <c r="E915" s="1753" t="s">
        <v>3655</v>
      </c>
      <c r="F915" s="1753" t="s">
        <v>3658</v>
      </c>
      <c r="G915" s="1753" t="s">
        <v>17</v>
      </c>
      <c r="H915" s="1753" t="s">
        <v>17</v>
      </c>
      <c r="I915" s="1753" t="s">
        <v>2326</v>
      </c>
      <c r="J915" t="s">
        <v>17</v>
      </c>
      <c r="K915" t="s">
        <v>285</v>
      </c>
      <c r="L915" t="s">
        <v>285</v>
      </c>
      <c r="M915" t="s">
        <v>3611</v>
      </c>
      <c r="N915" t="s">
        <v>396</v>
      </c>
    </row>
    <row r="916" spans="1:14" ht="11.25" customHeight="1">
      <c r="A916" s="1753" t="s">
        <v>2199</v>
      </c>
      <c r="B916" s="1753" t="s">
        <v>14</v>
      </c>
      <c r="C916" s="1753" t="s">
        <v>3659</v>
      </c>
      <c r="D916" s="1753" t="s">
        <v>3660</v>
      </c>
      <c r="E916" s="1753" t="s">
        <v>3661</v>
      </c>
      <c r="F916" s="1753" t="s">
        <v>2732</v>
      </c>
      <c r="G916" s="1753" t="s">
        <v>17</v>
      </c>
      <c r="H916" s="1753" t="s">
        <v>17</v>
      </c>
      <c r="I916" s="1753" t="s">
        <v>2330</v>
      </c>
      <c r="J916" t="s">
        <v>17</v>
      </c>
      <c r="K916" t="s">
        <v>1062</v>
      </c>
      <c r="L916" t="s">
        <v>3662</v>
      </c>
      <c r="M916" t="s">
        <v>3663</v>
      </c>
      <c r="N916" t="s">
        <v>396</v>
      </c>
    </row>
    <row r="917" spans="1:14" ht="11.25" customHeight="1">
      <c r="A917" s="1753" t="s">
        <v>2199</v>
      </c>
      <c r="B917" s="1753" t="s">
        <v>14</v>
      </c>
      <c r="C917" s="1753" t="s">
        <v>3659</v>
      </c>
      <c r="D917" s="1753" t="s">
        <v>3660</v>
      </c>
      <c r="E917" s="1753" t="s">
        <v>3661</v>
      </c>
      <c r="F917" s="1753" t="s">
        <v>2732</v>
      </c>
      <c r="G917" s="1753" t="s">
        <v>17</v>
      </c>
      <c r="H917" s="1753" t="s">
        <v>17</v>
      </c>
      <c r="I917" s="1753" t="s">
        <v>2330</v>
      </c>
      <c r="J917" t="s">
        <v>17</v>
      </c>
      <c r="K917" t="s">
        <v>1081</v>
      </c>
      <c r="L917" t="s">
        <v>3662</v>
      </c>
      <c r="M917" t="s">
        <v>3663</v>
      </c>
      <c r="N917" t="s">
        <v>396</v>
      </c>
    </row>
    <row r="918" spans="1:14" ht="11.25" customHeight="1">
      <c r="A918" s="1753" t="s">
        <v>2199</v>
      </c>
      <c r="B918" s="1753" t="s">
        <v>14</v>
      </c>
      <c r="C918" s="1753" t="s">
        <v>3659</v>
      </c>
      <c r="D918" s="1753" t="s">
        <v>3660</v>
      </c>
      <c r="E918" s="1753" t="s">
        <v>3661</v>
      </c>
      <c r="F918" s="1753" t="s">
        <v>2732</v>
      </c>
      <c r="G918" s="1753" t="s">
        <v>17</v>
      </c>
      <c r="H918" s="1753" t="s">
        <v>17</v>
      </c>
      <c r="I918" s="1753" t="s">
        <v>2330</v>
      </c>
      <c r="J918" t="s">
        <v>17</v>
      </c>
      <c r="K918" t="s">
        <v>285</v>
      </c>
      <c r="L918" t="s">
        <v>3662</v>
      </c>
      <c r="M918" t="s">
        <v>3663</v>
      </c>
      <c r="N918" t="s">
        <v>396</v>
      </c>
    </row>
    <row r="919" spans="1:14" ht="11.25" customHeight="1">
      <c r="A919" s="1753" t="s">
        <v>2199</v>
      </c>
      <c r="B919" s="1753" t="s">
        <v>14</v>
      </c>
      <c r="C919" s="1753" t="s">
        <v>3664</v>
      </c>
      <c r="D919" s="1753" t="s">
        <v>3665</v>
      </c>
      <c r="E919" s="1753" t="s">
        <v>3666</v>
      </c>
      <c r="F919" s="1753" t="s">
        <v>2474</v>
      </c>
      <c r="G919" s="1753" t="s">
        <v>17</v>
      </c>
      <c r="H919" s="1753" t="s">
        <v>17</v>
      </c>
      <c r="I919" s="1753" t="s">
        <v>3623</v>
      </c>
      <c r="J919" t="s">
        <v>17</v>
      </c>
      <c r="K919" t="s">
        <v>3618</v>
      </c>
      <c r="L919" t="s">
        <v>3618</v>
      </c>
      <c r="M919" t="s">
        <v>3619</v>
      </c>
      <c r="N919" t="s">
        <v>396</v>
      </c>
    </row>
    <row r="920" spans="1:14" ht="11.25" customHeight="1">
      <c r="A920" s="1753" t="s">
        <v>2199</v>
      </c>
      <c r="B920" s="1753" t="s">
        <v>14</v>
      </c>
      <c r="C920" s="1753" t="s">
        <v>3667</v>
      </c>
      <c r="D920" s="1753" t="s">
        <v>3668</v>
      </c>
      <c r="E920" s="1753" t="s">
        <v>3669</v>
      </c>
      <c r="F920" s="1753" t="s">
        <v>2474</v>
      </c>
      <c r="G920" s="1753" t="s">
        <v>17</v>
      </c>
      <c r="H920" s="1753" t="s">
        <v>17</v>
      </c>
      <c r="I920" s="1753" t="s">
        <v>2330</v>
      </c>
      <c r="J920" t="s">
        <v>17</v>
      </c>
      <c r="K920" t="s">
        <v>285</v>
      </c>
      <c r="L920" t="s">
        <v>285</v>
      </c>
      <c r="M920" t="s">
        <v>3611</v>
      </c>
      <c r="N920" t="s">
        <v>396</v>
      </c>
    </row>
    <row r="921" spans="1:14" ht="11.25" customHeight="1">
      <c r="A921" s="1753" t="s">
        <v>2199</v>
      </c>
      <c r="B921" s="1753" t="s">
        <v>14</v>
      </c>
      <c r="C921" s="1753" t="s">
        <v>3670</v>
      </c>
      <c r="D921" s="1753" t="s">
        <v>3671</v>
      </c>
      <c r="E921" s="1753" t="s">
        <v>3672</v>
      </c>
      <c r="F921" s="1753" t="s">
        <v>2301</v>
      </c>
      <c r="G921" s="1753" t="s">
        <v>17</v>
      </c>
      <c r="H921" s="1753" t="s">
        <v>17</v>
      </c>
      <c r="I921" s="1753" t="s">
        <v>3623</v>
      </c>
      <c r="J921" t="s">
        <v>17</v>
      </c>
      <c r="K921" t="s">
        <v>3618</v>
      </c>
      <c r="L921" t="s">
        <v>3618</v>
      </c>
      <c r="M921" t="s">
        <v>3619</v>
      </c>
      <c r="N921" t="s">
        <v>396</v>
      </c>
    </row>
    <row r="922" spans="1:14" ht="11.25" customHeight="1">
      <c r="A922" s="1753" t="s">
        <v>2199</v>
      </c>
      <c r="B922" s="1753" t="s">
        <v>14</v>
      </c>
      <c r="C922" s="1753" t="s">
        <v>3673</v>
      </c>
      <c r="D922" s="1753" t="s">
        <v>3674</v>
      </c>
      <c r="E922" s="1753" t="s">
        <v>3675</v>
      </c>
      <c r="F922" s="1753" t="s">
        <v>2301</v>
      </c>
      <c r="G922" s="1753" t="s">
        <v>17</v>
      </c>
      <c r="H922" s="1753" t="s">
        <v>17</v>
      </c>
      <c r="I922" s="1753" t="s">
        <v>3623</v>
      </c>
      <c r="J922" t="s">
        <v>17</v>
      </c>
      <c r="K922" t="s">
        <v>3618</v>
      </c>
      <c r="L922" t="s">
        <v>3618</v>
      </c>
      <c r="M922" t="s">
        <v>3619</v>
      </c>
      <c r="N922" t="s">
        <v>396</v>
      </c>
    </row>
    <row r="923" spans="1:14" ht="11.25" customHeight="1">
      <c r="A923" s="1753" t="s">
        <v>2199</v>
      </c>
      <c r="B923" s="1753" t="s">
        <v>14</v>
      </c>
      <c r="C923" s="1753" t="s">
        <v>3676</v>
      </c>
      <c r="D923" s="1753" t="s">
        <v>3677</v>
      </c>
      <c r="E923" s="1753" t="s">
        <v>3678</v>
      </c>
      <c r="F923" s="1753" t="s">
        <v>2203</v>
      </c>
      <c r="G923" s="1753" t="s">
        <v>17</v>
      </c>
      <c r="H923" s="1753" t="s">
        <v>17</v>
      </c>
      <c r="I923" s="1753" t="s">
        <v>3679</v>
      </c>
      <c r="J923" t="s">
        <v>17</v>
      </c>
      <c r="K923" t="s">
        <v>285</v>
      </c>
      <c r="L923" t="s">
        <v>285</v>
      </c>
      <c r="M923" t="s">
        <v>3611</v>
      </c>
      <c r="N923" t="s">
        <v>396</v>
      </c>
    </row>
    <row r="924" spans="1:14" ht="11.25" customHeight="1">
      <c r="A924" s="1753" t="s">
        <v>2199</v>
      </c>
      <c r="B924" s="1753" t="s">
        <v>14</v>
      </c>
      <c r="C924" s="1753" t="s">
        <v>3676</v>
      </c>
      <c r="D924" s="1753" t="s">
        <v>3677</v>
      </c>
      <c r="E924" s="1753" t="s">
        <v>3678</v>
      </c>
      <c r="F924" s="1753" t="s">
        <v>2203</v>
      </c>
      <c r="G924" s="1753" t="s">
        <v>17</v>
      </c>
      <c r="H924" s="1753" t="s">
        <v>17</v>
      </c>
      <c r="I924" s="1753" t="s">
        <v>3623</v>
      </c>
      <c r="J924" t="s">
        <v>17</v>
      </c>
      <c r="K924" t="s">
        <v>3618</v>
      </c>
      <c r="L924" t="s">
        <v>3618</v>
      </c>
      <c r="M924" t="s">
        <v>3619</v>
      </c>
      <c r="N924" t="s">
        <v>396</v>
      </c>
    </row>
    <row r="925" spans="1:14" ht="11.25" customHeight="1">
      <c r="A925" s="1753" t="s">
        <v>2199</v>
      </c>
      <c r="B925" s="1753" t="s">
        <v>14</v>
      </c>
      <c r="C925" s="1753" t="s">
        <v>3680</v>
      </c>
      <c r="D925" s="1753" t="s">
        <v>3681</v>
      </c>
      <c r="E925" s="1753" t="s">
        <v>3682</v>
      </c>
      <c r="F925" s="1753" t="s">
        <v>3683</v>
      </c>
      <c r="G925" s="1753" t="s">
        <v>17</v>
      </c>
      <c r="H925" s="1753" t="s">
        <v>17</v>
      </c>
      <c r="I925" s="1753" t="s">
        <v>3623</v>
      </c>
      <c r="J925" t="s">
        <v>17</v>
      </c>
      <c r="K925" t="s">
        <v>3618</v>
      </c>
      <c r="L925" t="s">
        <v>3618</v>
      </c>
      <c r="M925" t="s">
        <v>3619</v>
      </c>
      <c r="N925" t="s">
        <v>396</v>
      </c>
    </row>
    <row r="926" spans="1:14" ht="11.25" customHeight="1">
      <c r="A926" s="1753" t="s">
        <v>2199</v>
      </c>
      <c r="B926" s="1753" t="s">
        <v>14</v>
      </c>
      <c r="C926" s="1753" t="s">
        <v>3684</v>
      </c>
      <c r="D926" s="1753" t="s">
        <v>3685</v>
      </c>
      <c r="E926" s="1753" t="s">
        <v>3686</v>
      </c>
      <c r="F926" s="1753" t="s">
        <v>3687</v>
      </c>
      <c r="G926" s="1753" t="s">
        <v>17</v>
      </c>
      <c r="H926" s="1753" t="s">
        <v>17</v>
      </c>
      <c r="I926" s="1753" t="s">
        <v>2330</v>
      </c>
      <c r="J926" t="s">
        <v>17</v>
      </c>
      <c r="K926" t="s">
        <v>3618</v>
      </c>
      <c r="L926" t="s">
        <v>3618</v>
      </c>
      <c r="M926" t="s">
        <v>3619</v>
      </c>
      <c r="N926" t="s">
        <v>396</v>
      </c>
    </row>
    <row r="927" spans="1:14" ht="11.25" customHeight="1">
      <c r="A927" s="1753" t="s">
        <v>2199</v>
      </c>
      <c r="B927" s="1753" t="s">
        <v>14</v>
      </c>
      <c r="C927" s="1753" t="s">
        <v>3688</v>
      </c>
      <c r="D927" s="1753" t="s">
        <v>3689</v>
      </c>
      <c r="E927" s="1753" t="s">
        <v>3690</v>
      </c>
      <c r="F927" s="1753" t="s">
        <v>2203</v>
      </c>
      <c r="G927" s="1753" t="s">
        <v>17</v>
      </c>
      <c r="H927" s="1753" t="s">
        <v>17</v>
      </c>
      <c r="I927" s="1753" t="s">
        <v>3691</v>
      </c>
      <c r="J927" t="s">
        <v>17</v>
      </c>
      <c r="K927" t="s">
        <v>3618</v>
      </c>
      <c r="L927" t="s">
        <v>3618</v>
      </c>
      <c r="M927" t="s">
        <v>3619</v>
      </c>
      <c r="N927" t="s">
        <v>396</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52"/>
  <sheetViews>
    <sheetView showGridLines="0" workbookViewId="0"/>
  </sheetViews>
  <sheetFormatPr defaultRowHeight="11.25" customHeight="1"/>
  <cols>
    <col min="1" max="1" width="9.140625" style="1753"/>
  </cols>
  <sheetData>
    <row r="1" spans="1:7" ht="11.25" customHeight="1">
      <c r="A1" s="300" t="s">
        <v>3692</v>
      </c>
      <c r="B1" s="5" t="s">
        <v>3693</v>
      </c>
      <c r="C1" s="5" t="s">
        <v>3694</v>
      </c>
      <c r="D1" s="5" t="s">
        <v>3695</v>
      </c>
      <c r="E1" s="4" t="s">
        <v>3696</v>
      </c>
      <c r="F1" s="4" t="s">
        <v>3697</v>
      </c>
      <c r="G1" s="4" t="s">
        <v>3698</v>
      </c>
    </row>
    <row r="2" spans="1:7" ht="11.25" customHeight="1">
      <c r="A2" s="300" t="s">
        <v>14</v>
      </c>
      <c r="B2" t="s">
        <v>3699</v>
      </c>
      <c r="C2" t="s">
        <v>3700</v>
      </c>
      <c r="D2" t="s">
        <v>3699</v>
      </c>
      <c r="E2" t="s">
        <v>3700</v>
      </c>
      <c r="F2" t="s">
        <v>3701</v>
      </c>
      <c r="G2" t="s">
        <v>109</v>
      </c>
    </row>
    <row r="3" spans="1:7" ht="11.25" customHeight="1">
      <c r="A3" s="300" t="s">
        <v>14</v>
      </c>
      <c r="B3" t="s">
        <v>3702</v>
      </c>
      <c r="C3" t="s">
        <v>3703</v>
      </c>
      <c r="D3" t="s">
        <v>3702</v>
      </c>
      <c r="E3" t="s">
        <v>3703</v>
      </c>
      <c r="F3" t="s">
        <v>3701</v>
      </c>
      <c r="G3" t="s">
        <v>110</v>
      </c>
    </row>
    <row r="4" spans="1:7" ht="11.25" customHeight="1">
      <c r="A4" s="300" t="s">
        <v>14</v>
      </c>
      <c r="B4" t="s">
        <v>3704</v>
      </c>
      <c r="C4" t="s">
        <v>3705</v>
      </c>
      <c r="D4" t="s">
        <v>3704</v>
      </c>
      <c r="E4" t="s">
        <v>3705</v>
      </c>
      <c r="F4" t="s">
        <v>3701</v>
      </c>
      <c r="G4" t="s">
        <v>90</v>
      </c>
    </row>
    <row r="5" spans="1:7" ht="11.25" customHeight="1">
      <c r="A5" s="300" t="s">
        <v>14</v>
      </c>
      <c r="B5" t="s">
        <v>3706</v>
      </c>
      <c r="C5" t="s">
        <v>3707</v>
      </c>
      <c r="D5" t="s">
        <v>3706</v>
      </c>
      <c r="E5" t="s">
        <v>3707</v>
      </c>
      <c r="F5" t="s">
        <v>3701</v>
      </c>
      <c r="G5" t="s">
        <v>91</v>
      </c>
    </row>
    <row r="6" spans="1:7" ht="11.25" customHeight="1">
      <c r="A6" s="300" t="s">
        <v>14</v>
      </c>
      <c r="B6" t="s">
        <v>3708</v>
      </c>
      <c r="C6" t="s">
        <v>3709</v>
      </c>
      <c r="D6" t="s">
        <v>3708</v>
      </c>
      <c r="E6" t="s">
        <v>3709</v>
      </c>
      <c r="F6" t="s">
        <v>3701</v>
      </c>
      <c r="G6" t="s">
        <v>111</v>
      </c>
    </row>
    <row r="7" spans="1:7" ht="11.25" customHeight="1">
      <c r="A7" s="300" t="s">
        <v>14</v>
      </c>
      <c r="B7" t="s">
        <v>3710</v>
      </c>
      <c r="C7" t="s">
        <v>3711</v>
      </c>
      <c r="D7" t="s">
        <v>3710</v>
      </c>
      <c r="E7" t="s">
        <v>3711</v>
      </c>
      <c r="F7" t="s">
        <v>3701</v>
      </c>
      <c r="G7" t="s">
        <v>92</v>
      </c>
    </row>
    <row r="8" spans="1:7" ht="11.25" customHeight="1">
      <c r="A8" s="300" t="s">
        <v>14</v>
      </c>
      <c r="B8" t="s">
        <v>3712</v>
      </c>
      <c r="C8" t="s">
        <v>3713</v>
      </c>
      <c r="D8" t="s">
        <v>3712</v>
      </c>
      <c r="E8" t="s">
        <v>3713</v>
      </c>
      <c r="F8" t="s">
        <v>3701</v>
      </c>
      <c r="G8" t="s">
        <v>93</v>
      </c>
    </row>
    <row r="9" spans="1:7" ht="11.25" customHeight="1">
      <c r="A9" s="300" t="s">
        <v>14</v>
      </c>
      <c r="B9" t="s">
        <v>3714</v>
      </c>
      <c r="C9" t="s">
        <v>3715</v>
      </c>
      <c r="D9" t="s">
        <v>3714</v>
      </c>
      <c r="E9" t="s">
        <v>3715</v>
      </c>
      <c r="F9" t="s">
        <v>3701</v>
      </c>
      <c r="G9" t="s">
        <v>112</v>
      </c>
    </row>
    <row r="10" spans="1:7" ht="11.25" customHeight="1">
      <c r="A10" s="300" t="s">
        <v>14</v>
      </c>
      <c r="B10" t="s">
        <v>3716</v>
      </c>
      <c r="C10" t="s">
        <v>3717</v>
      </c>
      <c r="D10" t="s">
        <v>3716</v>
      </c>
      <c r="E10" t="s">
        <v>3717</v>
      </c>
      <c r="F10" t="s">
        <v>3701</v>
      </c>
      <c r="G10" t="s">
        <v>149</v>
      </c>
    </row>
    <row r="11" spans="1:7" ht="11.25" customHeight="1">
      <c r="A11" s="300" t="s">
        <v>14</v>
      </c>
      <c r="B11" t="s">
        <v>3718</v>
      </c>
      <c r="C11" t="s">
        <v>3719</v>
      </c>
      <c r="D11" t="s">
        <v>3718</v>
      </c>
      <c r="E11" t="s">
        <v>3719</v>
      </c>
      <c r="F11" t="s">
        <v>3701</v>
      </c>
      <c r="G11" t="s">
        <v>150</v>
      </c>
    </row>
    <row r="12" spans="1:7" ht="11.25" customHeight="1">
      <c r="A12" s="300" t="s">
        <v>14</v>
      </c>
      <c r="B12" t="s">
        <v>3720</v>
      </c>
      <c r="C12" t="s">
        <v>3721</v>
      </c>
      <c r="D12" t="s">
        <v>3720</v>
      </c>
      <c r="E12" t="s">
        <v>3721</v>
      </c>
      <c r="F12" t="s">
        <v>3701</v>
      </c>
      <c r="G12" t="s">
        <v>151</v>
      </c>
    </row>
    <row r="13" spans="1:7" ht="11.25" customHeight="1">
      <c r="A13" s="300" t="s">
        <v>14</v>
      </c>
      <c r="B13" t="s">
        <v>3722</v>
      </c>
      <c r="C13" t="s">
        <v>3723</v>
      </c>
      <c r="D13" t="s">
        <v>3722</v>
      </c>
      <c r="E13" t="s">
        <v>3723</v>
      </c>
      <c r="F13" t="s">
        <v>3701</v>
      </c>
      <c r="G13" t="s">
        <v>152</v>
      </c>
    </row>
    <row r="14" spans="1:7" ht="11.25" customHeight="1">
      <c r="A14" s="300" t="s">
        <v>14</v>
      </c>
      <c r="B14" t="s">
        <v>3724</v>
      </c>
      <c r="C14" t="s">
        <v>3725</v>
      </c>
      <c r="D14" t="s">
        <v>3724</v>
      </c>
      <c r="E14" t="s">
        <v>3725</v>
      </c>
      <c r="F14" t="s">
        <v>3726</v>
      </c>
      <c r="G14" t="s">
        <v>153</v>
      </c>
    </row>
    <row r="15" spans="1:7" ht="11.25" customHeight="1">
      <c r="A15" s="300" t="s">
        <v>14</v>
      </c>
      <c r="B15" t="s">
        <v>3727</v>
      </c>
      <c r="C15" t="s">
        <v>3728</v>
      </c>
      <c r="D15" t="s">
        <v>3727</v>
      </c>
      <c r="E15" t="s">
        <v>3728</v>
      </c>
      <c r="F15" t="s">
        <v>3701</v>
      </c>
      <c r="G15" t="s">
        <v>154</v>
      </c>
    </row>
    <row r="16" spans="1:7" ht="11.25" customHeight="1">
      <c r="A16" s="300" t="s">
        <v>14</v>
      </c>
      <c r="B16" t="s">
        <v>3729</v>
      </c>
      <c r="C16" t="s">
        <v>3730</v>
      </c>
      <c r="D16" t="s">
        <v>3729</v>
      </c>
      <c r="E16" t="s">
        <v>3730</v>
      </c>
      <c r="F16" t="s">
        <v>3701</v>
      </c>
      <c r="G16" t="s">
        <v>696</v>
      </c>
    </row>
    <row r="17" spans="1:7" ht="11.25" customHeight="1">
      <c r="A17" s="300" t="s">
        <v>14</v>
      </c>
      <c r="B17" t="s">
        <v>3731</v>
      </c>
      <c r="C17" t="s">
        <v>3732</v>
      </c>
      <c r="D17" t="s">
        <v>3731</v>
      </c>
      <c r="E17" t="s">
        <v>3732</v>
      </c>
      <c r="F17" t="s">
        <v>3701</v>
      </c>
      <c r="G17" t="s">
        <v>398</v>
      </c>
    </row>
    <row r="18" spans="1:7" ht="11.25" customHeight="1">
      <c r="A18" s="300" t="s">
        <v>14</v>
      </c>
      <c r="B18" t="s">
        <v>3733</v>
      </c>
      <c r="C18" t="s">
        <v>3734</v>
      </c>
      <c r="D18" t="s">
        <v>3733</v>
      </c>
      <c r="E18" t="s">
        <v>3734</v>
      </c>
      <c r="F18" t="s">
        <v>3701</v>
      </c>
      <c r="G18" t="s">
        <v>705</v>
      </c>
    </row>
    <row r="19" spans="1:7" ht="11.25" customHeight="1">
      <c r="A19" s="300" t="s">
        <v>14</v>
      </c>
      <c r="B19" t="s">
        <v>3735</v>
      </c>
      <c r="C19" t="s">
        <v>3736</v>
      </c>
      <c r="D19" t="s">
        <v>3735</v>
      </c>
      <c r="E19" t="s">
        <v>3736</v>
      </c>
      <c r="F19" t="s">
        <v>3701</v>
      </c>
      <c r="G19" t="s">
        <v>709</v>
      </c>
    </row>
    <row r="20" spans="1:7" ht="11.25" customHeight="1">
      <c r="A20" s="300" t="s">
        <v>14</v>
      </c>
      <c r="B20" t="s">
        <v>3737</v>
      </c>
      <c r="C20" t="s">
        <v>3738</v>
      </c>
      <c r="D20" t="s">
        <v>3737</v>
      </c>
      <c r="E20" t="s">
        <v>3738</v>
      </c>
      <c r="F20" t="s">
        <v>3726</v>
      </c>
      <c r="G20" t="s">
        <v>460</v>
      </c>
    </row>
    <row r="21" spans="1:7" ht="11.25" customHeight="1">
      <c r="A21" s="300" t="s">
        <v>14</v>
      </c>
      <c r="B21" t="s">
        <v>3739</v>
      </c>
      <c r="C21" t="s">
        <v>3740</v>
      </c>
      <c r="D21" t="s">
        <v>3739</v>
      </c>
      <c r="E21" t="s">
        <v>3740</v>
      </c>
      <c r="F21" t="s">
        <v>3701</v>
      </c>
      <c r="G21" t="s">
        <v>1073</v>
      </c>
    </row>
    <row r="22" spans="1:7" ht="11.25" customHeight="1">
      <c r="A22" s="300" t="s">
        <v>14</v>
      </c>
      <c r="B22" t="s">
        <v>3741</v>
      </c>
      <c r="C22" t="s">
        <v>3742</v>
      </c>
      <c r="D22" t="s">
        <v>3741</v>
      </c>
      <c r="E22" t="s">
        <v>3742</v>
      </c>
      <c r="F22" t="s">
        <v>3701</v>
      </c>
      <c r="G22" t="s">
        <v>1088</v>
      </c>
    </row>
    <row r="23" spans="1:7" ht="11.25" customHeight="1">
      <c r="A23" s="300" t="s">
        <v>14</v>
      </c>
      <c r="B23" t="s">
        <v>3743</v>
      </c>
      <c r="C23" t="s">
        <v>3744</v>
      </c>
      <c r="D23" t="s">
        <v>3743</v>
      </c>
      <c r="E23" t="s">
        <v>3744</v>
      </c>
      <c r="F23" t="s">
        <v>3701</v>
      </c>
      <c r="G23" t="s">
        <v>1094</v>
      </c>
    </row>
    <row r="24" spans="1:7" ht="11.25" customHeight="1">
      <c r="A24" s="300" t="s">
        <v>14</v>
      </c>
      <c r="B24" t="s">
        <v>3745</v>
      </c>
      <c r="C24" t="s">
        <v>3746</v>
      </c>
      <c r="D24" t="s">
        <v>3745</v>
      </c>
      <c r="E24" t="s">
        <v>3746</v>
      </c>
      <c r="F24" t="s">
        <v>3701</v>
      </c>
      <c r="G24" t="s">
        <v>1100</v>
      </c>
    </row>
    <row r="25" spans="1:7" ht="11.25" customHeight="1">
      <c r="A25" s="300" t="s">
        <v>14</v>
      </c>
      <c r="B25" t="s">
        <v>3747</v>
      </c>
      <c r="C25" t="s">
        <v>3748</v>
      </c>
      <c r="D25" t="s">
        <v>3747</v>
      </c>
      <c r="E25" t="s">
        <v>3748</v>
      </c>
      <c r="F25" t="s">
        <v>3701</v>
      </c>
      <c r="G25" t="s">
        <v>473</v>
      </c>
    </row>
    <row r="26" spans="1:7" ht="11.25" customHeight="1">
      <c r="A26" s="300" t="s">
        <v>14</v>
      </c>
      <c r="B26" t="s">
        <v>3749</v>
      </c>
      <c r="C26" t="s">
        <v>3750</v>
      </c>
      <c r="D26" t="s">
        <v>3749</v>
      </c>
      <c r="E26" t="s">
        <v>3750</v>
      </c>
      <c r="F26" t="s">
        <v>3701</v>
      </c>
      <c r="G26" t="s">
        <v>472</v>
      </c>
    </row>
    <row r="27" spans="1:7" ht="11.25" customHeight="1">
      <c r="A27" s="300" t="s">
        <v>14</v>
      </c>
      <c r="B27" t="s">
        <v>3751</v>
      </c>
      <c r="C27" t="s">
        <v>3752</v>
      </c>
      <c r="D27" t="s">
        <v>3751</v>
      </c>
      <c r="E27" t="s">
        <v>3752</v>
      </c>
      <c r="F27" t="s">
        <v>3701</v>
      </c>
      <c r="G27" t="s">
        <v>720</v>
      </c>
    </row>
    <row r="28" spans="1:7" ht="11.25" customHeight="1">
      <c r="A28" s="300" t="s">
        <v>14</v>
      </c>
      <c r="B28" t="s">
        <v>3753</v>
      </c>
      <c r="C28" t="s">
        <v>3754</v>
      </c>
      <c r="D28" t="s">
        <v>3753</v>
      </c>
      <c r="E28" t="s">
        <v>3754</v>
      </c>
      <c r="F28" t="s">
        <v>3726</v>
      </c>
      <c r="G28" t="s">
        <v>455</v>
      </c>
    </row>
    <row r="29" spans="1:7" ht="11.25" customHeight="1">
      <c r="A29" s="300" t="s">
        <v>14</v>
      </c>
      <c r="B29" t="s">
        <v>3755</v>
      </c>
      <c r="C29" t="s">
        <v>3756</v>
      </c>
      <c r="D29" t="s">
        <v>3755</v>
      </c>
      <c r="E29" t="s">
        <v>3756</v>
      </c>
      <c r="F29" t="s">
        <v>3701</v>
      </c>
      <c r="G29" t="s">
        <v>1122</v>
      </c>
    </row>
    <row r="30" spans="1:7" ht="11.25" customHeight="1">
      <c r="A30" s="300" t="s">
        <v>14</v>
      </c>
      <c r="B30" t="s">
        <v>3757</v>
      </c>
      <c r="C30" t="s">
        <v>3758</v>
      </c>
      <c r="D30" t="s">
        <v>3757</v>
      </c>
      <c r="E30" t="s">
        <v>3758</v>
      </c>
      <c r="F30" t="s">
        <v>3726</v>
      </c>
      <c r="G30" t="s">
        <v>1125</v>
      </c>
    </row>
    <row r="31" spans="1:7" ht="11.25" customHeight="1">
      <c r="A31" s="300" t="s">
        <v>14</v>
      </c>
      <c r="B31" t="s">
        <v>3759</v>
      </c>
      <c r="C31" t="s">
        <v>3760</v>
      </c>
      <c r="D31" t="s">
        <v>3759</v>
      </c>
      <c r="E31" t="s">
        <v>3760</v>
      </c>
      <c r="F31" t="s">
        <v>3701</v>
      </c>
      <c r="G31" t="s">
        <v>1131</v>
      </c>
    </row>
    <row r="32" spans="1:7" ht="11.25" customHeight="1">
      <c r="A32" s="300" t="s">
        <v>14</v>
      </c>
      <c r="B32" t="s">
        <v>3761</v>
      </c>
      <c r="C32" t="s">
        <v>3762</v>
      </c>
      <c r="D32" t="s">
        <v>3761</v>
      </c>
      <c r="E32" t="s">
        <v>3762</v>
      </c>
      <c r="F32" t="s">
        <v>3701</v>
      </c>
      <c r="G32" t="s">
        <v>1133</v>
      </c>
    </row>
    <row r="33" spans="1:7" ht="11.25" customHeight="1">
      <c r="A33" s="300" t="s">
        <v>14</v>
      </c>
      <c r="B33" t="s">
        <v>3763</v>
      </c>
      <c r="C33" t="s">
        <v>3764</v>
      </c>
      <c r="D33" t="s">
        <v>3763</v>
      </c>
      <c r="E33" t="s">
        <v>3764</v>
      </c>
      <c r="F33" t="s">
        <v>3726</v>
      </c>
      <c r="G33" t="s">
        <v>1135</v>
      </c>
    </row>
    <row r="34" spans="1:7" ht="11.25" customHeight="1">
      <c r="A34" s="300" t="s">
        <v>14</v>
      </c>
      <c r="B34" t="s">
        <v>3765</v>
      </c>
      <c r="C34" t="s">
        <v>3766</v>
      </c>
      <c r="D34" t="s">
        <v>3765</v>
      </c>
      <c r="E34" t="s">
        <v>3766</v>
      </c>
      <c r="F34" t="s">
        <v>3701</v>
      </c>
      <c r="G34" t="s">
        <v>1137</v>
      </c>
    </row>
    <row r="35" spans="1:7" ht="11.25" customHeight="1">
      <c r="A35" s="300" t="s">
        <v>14</v>
      </c>
      <c r="B35" t="s">
        <v>3767</v>
      </c>
      <c r="C35" t="s">
        <v>3768</v>
      </c>
      <c r="D35" t="s">
        <v>3767</v>
      </c>
      <c r="E35" t="s">
        <v>3768</v>
      </c>
      <c r="F35" t="s">
        <v>3701</v>
      </c>
      <c r="G35" t="s">
        <v>1142</v>
      </c>
    </row>
    <row r="36" spans="1:7" ht="11.25" customHeight="1">
      <c r="A36" s="300" t="s">
        <v>14</v>
      </c>
      <c r="B36" t="s">
        <v>3769</v>
      </c>
      <c r="C36" t="s">
        <v>3770</v>
      </c>
      <c r="D36" t="s">
        <v>3769</v>
      </c>
      <c r="E36" t="s">
        <v>3770</v>
      </c>
      <c r="F36" t="s">
        <v>3726</v>
      </c>
      <c r="G36" t="s">
        <v>1147</v>
      </c>
    </row>
    <row r="37" spans="1:7" ht="11.25" customHeight="1">
      <c r="A37" s="300" t="s">
        <v>14</v>
      </c>
      <c r="B37" t="s">
        <v>3771</v>
      </c>
      <c r="C37" t="s">
        <v>3772</v>
      </c>
      <c r="D37" t="s">
        <v>3771</v>
      </c>
      <c r="E37" t="s">
        <v>3772</v>
      </c>
      <c r="F37" t="s">
        <v>3701</v>
      </c>
      <c r="G37" t="s">
        <v>1150</v>
      </c>
    </row>
    <row r="38" spans="1:7" ht="11.25" customHeight="1">
      <c r="A38" s="300" t="s">
        <v>14</v>
      </c>
      <c r="B38" t="s">
        <v>3773</v>
      </c>
      <c r="C38" t="s">
        <v>3774</v>
      </c>
      <c r="D38" t="s">
        <v>3773</v>
      </c>
      <c r="E38" t="s">
        <v>3774</v>
      </c>
      <c r="F38" t="s">
        <v>3701</v>
      </c>
      <c r="G38" t="s">
        <v>1158</v>
      </c>
    </row>
    <row r="39" spans="1:7" ht="11.25" customHeight="1">
      <c r="A39" s="300" t="s">
        <v>14</v>
      </c>
      <c r="B39" t="s">
        <v>3775</v>
      </c>
      <c r="C39" t="s">
        <v>3776</v>
      </c>
      <c r="D39" t="s">
        <v>3775</v>
      </c>
      <c r="E39" t="s">
        <v>3776</v>
      </c>
      <c r="F39" t="s">
        <v>3701</v>
      </c>
      <c r="G39" t="s">
        <v>1164</v>
      </c>
    </row>
    <row r="40" spans="1:7" ht="11.25" customHeight="1">
      <c r="A40" s="300" t="s">
        <v>14</v>
      </c>
      <c r="B40" t="s">
        <v>3777</v>
      </c>
      <c r="C40" t="s">
        <v>3778</v>
      </c>
      <c r="D40" t="s">
        <v>3777</v>
      </c>
      <c r="E40" t="s">
        <v>3778</v>
      </c>
      <c r="F40" t="s">
        <v>3701</v>
      </c>
      <c r="G40" t="s">
        <v>1170</v>
      </c>
    </row>
    <row r="41" spans="1:7" ht="11.25" customHeight="1">
      <c r="A41" s="300" t="s">
        <v>14</v>
      </c>
      <c r="B41" t="s">
        <v>3779</v>
      </c>
      <c r="C41" t="s">
        <v>3780</v>
      </c>
      <c r="D41" t="s">
        <v>3779</v>
      </c>
      <c r="E41" t="s">
        <v>3780</v>
      </c>
      <c r="F41" t="s">
        <v>3701</v>
      </c>
      <c r="G41" t="s">
        <v>1176</v>
      </c>
    </row>
    <row r="42" spans="1:7" ht="11.25" customHeight="1">
      <c r="A42" s="300" t="s">
        <v>14</v>
      </c>
      <c r="B42" t="s">
        <v>3781</v>
      </c>
      <c r="C42" t="s">
        <v>3782</v>
      </c>
      <c r="D42" t="s">
        <v>3781</v>
      </c>
      <c r="E42" t="s">
        <v>3782</v>
      </c>
      <c r="F42" t="s">
        <v>3701</v>
      </c>
      <c r="G42" t="s">
        <v>1181</v>
      </c>
    </row>
    <row r="43" spans="1:7" ht="11.25" customHeight="1">
      <c r="A43" s="300" t="s">
        <v>14</v>
      </c>
      <c r="B43" t="s">
        <v>3783</v>
      </c>
      <c r="C43" t="s">
        <v>3784</v>
      </c>
      <c r="D43" t="s">
        <v>3783</v>
      </c>
      <c r="E43" t="s">
        <v>3784</v>
      </c>
      <c r="F43" t="s">
        <v>3701</v>
      </c>
      <c r="G43" t="s">
        <v>1188</v>
      </c>
    </row>
    <row r="44" spans="1:7" ht="11.25" customHeight="1">
      <c r="A44" s="300" t="s">
        <v>14</v>
      </c>
      <c r="B44" t="s">
        <v>3785</v>
      </c>
      <c r="C44" t="s">
        <v>3786</v>
      </c>
      <c r="D44" t="s">
        <v>3785</v>
      </c>
      <c r="E44" t="s">
        <v>3786</v>
      </c>
      <c r="F44" t="s">
        <v>3726</v>
      </c>
      <c r="G44" t="s">
        <v>1197</v>
      </c>
    </row>
    <row r="45" spans="1:7" ht="11.25" customHeight="1">
      <c r="A45" s="300" t="s">
        <v>14</v>
      </c>
      <c r="B45" t="s">
        <v>3787</v>
      </c>
      <c r="C45" t="s">
        <v>3788</v>
      </c>
      <c r="D45" t="s">
        <v>3787</v>
      </c>
      <c r="E45" t="s">
        <v>3788</v>
      </c>
      <c r="F45" t="s">
        <v>3726</v>
      </c>
      <c r="G45" t="s">
        <v>1203</v>
      </c>
    </row>
    <row r="46" spans="1:7" ht="11.25" customHeight="1">
      <c r="A46" s="300" t="s">
        <v>14</v>
      </c>
      <c r="B46" t="s">
        <v>3789</v>
      </c>
      <c r="C46" t="s">
        <v>3790</v>
      </c>
      <c r="D46" t="s">
        <v>3789</v>
      </c>
      <c r="E46" t="s">
        <v>3790</v>
      </c>
      <c r="F46" t="s">
        <v>3726</v>
      </c>
      <c r="G46" t="s">
        <v>474</v>
      </c>
    </row>
    <row r="47" spans="1:7" ht="11.25" customHeight="1">
      <c r="A47" s="300" t="s">
        <v>14</v>
      </c>
      <c r="B47" t="s">
        <v>3791</v>
      </c>
      <c r="C47" t="s">
        <v>3792</v>
      </c>
      <c r="D47" t="s">
        <v>3791</v>
      </c>
      <c r="E47" t="s">
        <v>3792</v>
      </c>
      <c r="F47" t="s">
        <v>3726</v>
      </c>
      <c r="G47" t="s">
        <v>1212</v>
      </c>
    </row>
    <row r="48" spans="1:7" ht="11.25" customHeight="1">
      <c r="A48" s="300" t="s">
        <v>14</v>
      </c>
      <c r="B48" t="s">
        <v>3793</v>
      </c>
      <c r="C48" t="s">
        <v>3794</v>
      </c>
      <c r="D48" t="s">
        <v>3793</v>
      </c>
      <c r="E48" t="s">
        <v>3794</v>
      </c>
      <c r="F48" t="s">
        <v>3726</v>
      </c>
      <c r="G48" t="s">
        <v>721</v>
      </c>
    </row>
    <row r="49" spans="1:7" ht="11.25" customHeight="1">
      <c r="A49" s="300" t="s">
        <v>14</v>
      </c>
      <c r="B49" t="s">
        <v>100</v>
      </c>
      <c r="C49" t="s">
        <v>101</v>
      </c>
      <c r="D49" t="s">
        <v>100</v>
      </c>
      <c r="E49" t="s">
        <v>101</v>
      </c>
      <c r="F49" t="s">
        <v>3726</v>
      </c>
      <c r="G49" t="s">
        <v>99</v>
      </c>
    </row>
    <row r="50" spans="1:7" ht="11.25" customHeight="1">
      <c r="A50" s="300" t="s">
        <v>14</v>
      </c>
      <c r="B50" t="s">
        <v>3795</v>
      </c>
      <c r="C50" t="s">
        <v>3796</v>
      </c>
      <c r="D50" t="s">
        <v>3795</v>
      </c>
      <c r="E50" t="s">
        <v>3796</v>
      </c>
      <c r="F50" t="s">
        <v>3726</v>
      </c>
      <c r="G50" t="s">
        <v>1224</v>
      </c>
    </row>
    <row r="51" spans="1:7" ht="11.25" customHeight="1">
      <c r="A51" s="300" t="s">
        <v>14</v>
      </c>
      <c r="B51" t="s">
        <v>3797</v>
      </c>
      <c r="C51" t="s">
        <v>3798</v>
      </c>
      <c r="D51" t="s">
        <v>3797</v>
      </c>
      <c r="E51" t="s">
        <v>3798</v>
      </c>
      <c r="F51" t="s">
        <v>3726</v>
      </c>
      <c r="G51" t="s">
        <v>1228</v>
      </c>
    </row>
    <row r="52" spans="1:7" ht="11.25" customHeight="1">
      <c r="A52" s="300" t="s">
        <v>14</v>
      </c>
      <c r="B52" t="s">
        <v>3799</v>
      </c>
      <c r="C52" t="s">
        <v>3800</v>
      </c>
      <c r="D52" t="s">
        <v>3799</v>
      </c>
      <c r="E52" t="s">
        <v>3800</v>
      </c>
      <c r="F52" t="s">
        <v>3726</v>
      </c>
      <c r="G52" t="s">
        <v>1232</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81"/>
  <sheetViews>
    <sheetView showGridLines="0" workbookViewId="0"/>
  </sheetViews>
  <sheetFormatPr defaultColWidth="9.140625" defaultRowHeight="11.25" customHeight="1"/>
  <cols>
    <col min="1" max="4" width="9.140625" style="1887"/>
  </cols>
  <sheetData>
    <row r="1" spans="1:4" ht="11.25" customHeight="1">
      <c r="A1" s="741" t="s">
        <v>3801</v>
      </c>
      <c r="B1" s="741" t="s">
        <v>3802</v>
      </c>
      <c r="C1" s="741" t="s">
        <v>3803</v>
      </c>
      <c r="D1" s="741" t="s">
        <v>3804</v>
      </c>
    </row>
    <row r="2" spans="1:4" ht="11.25" customHeight="1">
      <c r="A2" s="1752" t="s">
        <v>109</v>
      </c>
      <c r="B2" s="1752" t="s">
        <v>3805</v>
      </c>
      <c r="C2" s="1752" t="s">
        <v>3806</v>
      </c>
      <c r="D2" s="1752" t="s">
        <v>3807</v>
      </c>
    </row>
    <row r="3" spans="1:4" ht="11.25" customHeight="1">
      <c r="A3" s="1752" t="s">
        <v>110</v>
      </c>
      <c r="B3" s="1752" t="s">
        <v>3808</v>
      </c>
      <c r="C3" s="1752" t="s">
        <v>3809</v>
      </c>
      <c r="D3" s="1752" t="s">
        <v>3807</v>
      </c>
    </row>
    <row r="4" spans="1:4" ht="11.25" customHeight="1">
      <c r="A4" s="1752" t="s">
        <v>90</v>
      </c>
      <c r="B4" s="1752" t="s">
        <v>3810</v>
      </c>
      <c r="C4" s="1752" t="s">
        <v>1985</v>
      </c>
      <c r="D4" s="1752" t="s">
        <v>1986</v>
      </c>
    </row>
    <row r="5" spans="1:4" ht="11.25" customHeight="1">
      <c r="A5" s="1752" t="s">
        <v>91</v>
      </c>
      <c r="B5" s="1752" t="s">
        <v>3811</v>
      </c>
      <c r="C5" s="1752" t="s">
        <v>3812</v>
      </c>
      <c r="D5" s="1752" t="s">
        <v>3813</v>
      </c>
    </row>
    <row r="6" spans="1:4" ht="11.25" customHeight="1">
      <c r="A6" s="1752" t="s">
        <v>111</v>
      </c>
      <c r="B6" s="1752" t="s">
        <v>3814</v>
      </c>
      <c r="C6" s="1752" t="s">
        <v>3812</v>
      </c>
      <c r="D6" s="1752" t="s">
        <v>3807</v>
      </c>
    </row>
    <row r="7" spans="1:4" ht="11.25" customHeight="1">
      <c r="A7" s="1752" t="s">
        <v>92</v>
      </c>
      <c r="B7" s="1752" t="s">
        <v>3815</v>
      </c>
      <c r="C7" s="1752" t="s">
        <v>3816</v>
      </c>
      <c r="D7" s="1752" t="s">
        <v>3817</v>
      </c>
    </row>
    <row r="8" spans="1:4" ht="11.25" customHeight="1">
      <c r="A8" s="1752" t="s">
        <v>93</v>
      </c>
      <c r="B8" s="1752" t="s">
        <v>3818</v>
      </c>
      <c r="C8" s="1752" t="s">
        <v>3816</v>
      </c>
      <c r="D8" s="1752" t="s">
        <v>3819</v>
      </c>
    </row>
    <row r="9" spans="1:4" ht="11.25" customHeight="1">
      <c r="A9" s="1752" t="s">
        <v>112</v>
      </c>
      <c r="B9" s="1752" t="s">
        <v>3820</v>
      </c>
      <c r="C9" s="1752" t="s">
        <v>3816</v>
      </c>
      <c r="D9" s="1752" t="s">
        <v>3819</v>
      </c>
    </row>
    <row r="10" spans="1:4" ht="11.25" customHeight="1">
      <c r="A10" s="1752" t="s">
        <v>149</v>
      </c>
      <c r="B10" s="1752" t="s">
        <v>3821</v>
      </c>
      <c r="C10" s="1752" t="s">
        <v>3816</v>
      </c>
      <c r="D10" s="1752" t="s">
        <v>3822</v>
      </c>
    </row>
    <row r="11" spans="1:4" ht="11.25" customHeight="1">
      <c r="A11" s="1752" t="s">
        <v>150</v>
      </c>
      <c r="B11" s="1752" t="s">
        <v>3823</v>
      </c>
      <c r="C11" s="1752" t="s">
        <v>3824</v>
      </c>
      <c r="D11" s="1752" t="s">
        <v>3825</v>
      </c>
    </row>
    <row r="12" spans="1:4" ht="11.25" customHeight="1">
      <c r="A12" s="1752" t="s">
        <v>151</v>
      </c>
      <c r="B12" s="1752" t="s">
        <v>3826</v>
      </c>
      <c r="C12" s="1752" t="s">
        <v>3824</v>
      </c>
      <c r="D12" s="1752" t="s">
        <v>3825</v>
      </c>
    </row>
    <row r="13" spans="1:4" ht="11.25" customHeight="1">
      <c r="A13" s="1752" t="s">
        <v>152</v>
      </c>
      <c r="B13" s="1752" t="s">
        <v>1982</v>
      </c>
      <c r="C13" s="1752" t="s">
        <v>1985</v>
      </c>
      <c r="D13" s="1752" t="s">
        <v>1986</v>
      </c>
    </row>
    <row r="14" spans="1:4" ht="11.25" customHeight="1">
      <c r="A14" s="1752" t="s">
        <v>153</v>
      </c>
      <c r="B14" s="1752" t="s">
        <v>3827</v>
      </c>
      <c r="C14" s="1752" t="s">
        <v>3828</v>
      </c>
      <c r="D14" s="1752" t="s">
        <v>3829</v>
      </c>
    </row>
    <row r="15" spans="1:4" ht="11.25" customHeight="1">
      <c r="A15" s="1752" t="s">
        <v>154</v>
      </c>
      <c r="B15" s="1752" t="s">
        <v>3830</v>
      </c>
      <c r="C15" s="1752" t="s">
        <v>3831</v>
      </c>
      <c r="D15" s="1752" t="s">
        <v>3825</v>
      </c>
    </row>
    <row r="16" spans="1:4" ht="11.25" customHeight="1">
      <c r="A16" s="1752" t="s">
        <v>696</v>
      </c>
      <c r="B16" s="1752" t="s">
        <v>3832</v>
      </c>
      <c r="C16" s="1752" t="s">
        <v>3831</v>
      </c>
      <c r="D16" s="1752" t="s">
        <v>3825</v>
      </c>
    </row>
    <row r="17" spans="1:4" ht="11.25" customHeight="1">
      <c r="A17" s="1752" t="s">
        <v>398</v>
      </c>
      <c r="B17" s="1752" t="s">
        <v>3833</v>
      </c>
      <c r="C17" s="1752" t="s">
        <v>3834</v>
      </c>
      <c r="D17" s="1752" t="s">
        <v>3835</v>
      </c>
    </row>
    <row r="18" spans="1:4" ht="11.25" customHeight="1">
      <c r="A18" s="1752" t="s">
        <v>705</v>
      </c>
      <c r="B18" s="1752" t="s">
        <v>3836</v>
      </c>
      <c r="C18" s="1752" t="s">
        <v>3834</v>
      </c>
      <c r="D18" s="1752" t="s">
        <v>3835</v>
      </c>
    </row>
    <row r="19" spans="1:4" ht="11.25" customHeight="1">
      <c r="A19" s="1752" t="s">
        <v>709</v>
      </c>
      <c r="B19" s="1752" t="s">
        <v>3837</v>
      </c>
      <c r="C19" s="1752" t="s">
        <v>3834</v>
      </c>
      <c r="D19" s="1752" t="s">
        <v>3835</v>
      </c>
    </row>
    <row r="20" spans="1:4" ht="11.25" customHeight="1">
      <c r="A20" s="1752" t="s">
        <v>460</v>
      </c>
      <c r="B20" s="1752" t="s">
        <v>3838</v>
      </c>
      <c r="C20" s="1752" t="s">
        <v>3831</v>
      </c>
      <c r="D20" s="1752" t="s">
        <v>3819</v>
      </c>
    </row>
    <row r="21" spans="1:4" ht="11.25" customHeight="1">
      <c r="A21" s="1752" t="s">
        <v>1073</v>
      </c>
      <c r="B21" s="1752" t="s">
        <v>3839</v>
      </c>
      <c r="C21" s="1752" t="s">
        <v>3831</v>
      </c>
      <c r="D21" s="1752" t="s">
        <v>3819</v>
      </c>
    </row>
    <row r="22" spans="1:4" ht="11.25" customHeight="1">
      <c r="A22" s="1752" t="s">
        <v>1088</v>
      </c>
      <c r="B22" s="1752" t="s">
        <v>3840</v>
      </c>
      <c r="C22" s="1752" t="s">
        <v>3841</v>
      </c>
      <c r="D22" s="1752" t="s">
        <v>3842</v>
      </c>
    </row>
    <row r="23" spans="1:4" ht="11.25" customHeight="1">
      <c r="A23" s="1752" t="s">
        <v>1094</v>
      </c>
      <c r="B23" s="1752" t="s">
        <v>3843</v>
      </c>
      <c r="C23" s="1752" t="s">
        <v>3841</v>
      </c>
      <c r="D23" s="1752" t="s">
        <v>3817</v>
      </c>
    </row>
    <row r="24" spans="1:4" ht="11.25" customHeight="1">
      <c r="A24" s="1752" t="s">
        <v>1100</v>
      </c>
      <c r="B24" s="1752" t="s">
        <v>3844</v>
      </c>
      <c r="C24" s="1752" t="s">
        <v>3828</v>
      </c>
      <c r="D24" s="1752" t="s">
        <v>3829</v>
      </c>
    </row>
    <row r="25" spans="1:4" ht="11.25" customHeight="1">
      <c r="A25" s="1752" t="s">
        <v>473</v>
      </c>
      <c r="B25" s="1752" t="s">
        <v>3845</v>
      </c>
      <c r="C25" s="1752" t="s">
        <v>3831</v>
      </c>
      <c r="D25" s="1752" t="s">
        <v>3842</v>
      </c>
    </row>
    <row r="26" spans="1:4" ht="11.25" customHeight="1">
      <c r="A26" s="1752" t="s">
        <v>472</v>
      </c>
      <c r="B26" s="1752" t="s">
        <v>3846</v>
      </c>
      <c r="C26" s="1752" t="s">
        <v>3834</v>
      </c>
      <c r="D26" s="1752" t="s">
        <v>3847</v>
      </c>
    </row>
    <row r="27" spans="1:4" ht="11.25" customHeight="1">
      <c r="A27" s="1752" t="s">
        <v>720</v>
      </c>
      <c r="B27" s="1752" t="s">
        <v>3848</v>
      </c>
      <c r="C27" s="1752" t="s">
        <v>3834</v>
      </c>
      <c r="D27" s="1752" t="s">
        <v>3835</v>
      </c>
    </row>
    <row r="28" spans="1:4" ht="11.25" customHeight="1">
      <c r="A28" s="1752" t="s">
        <v>455</v>
      </c>
      <c r="B28" s="1752" t="s">
        <v>3849</v>
      </c>
      <c r="C28" s="1752" t="s">
        <v>3834</v>
      </c>
      <c r="D28" s="1752" t="s">
        <v>3847</v>
      </c>
    </row>
    <row r="29" spans="1:4" ht="11.25" customHeight="1">
      <c r="A29" s="1752" t="s">
        <v>1122</v>
      </c>
      <c r="B29" s="1752" t="s">
        <v>3850</v>
      </c>
      <c r="C29" s="1752" t="s">
        <v>3834</v>
      </c>
      <c r="D29" s="1752" t="s">
        <v>3835</v>
      </c>
    </row>
    <row r="30" spans="1:4" ht="11.25" customHeight="1">
      <c r="A30" s="1752" t="s">
        <v>1125</v>
      </c>
      <c r="B30" s="1752" t="s">
        <v>3851</v>
      </c>
      <c r="C30" s="1752" t="s">
        <v>3834</v>
      </c>
      <c r="D30" s="1752" t="s">
        <v>3852</v>
      </c>
    </row>
    <row r="31" spans="1:4" ht="11.25" customHeight="1">
      <c r="A31" s="1752" t="s">
        <v>1131</v>
      </c>
      <c r="B31" s="1752" t="s">
        <v>3853</v>
      </c>
      <c r="C31" s="1752" t="s">
        <v>3834</v>
      </c>
      <c r="D31" s="1752" t="s">
        <v>1986</v>
      </c>
    </row>
    <row r="32" spans="1:4" ht="11.25" customHeight="1">
      <c r="A32" s="1752" t="s">
        <v>1133</v>
      </c>
      <c r="B32" s="1752" t="s">
        <v>3854</v>
      </c>
      <c r="C32" s="1752" t="s">
        <v>3831</v>
      </c>
      <c r="D32" s="1752" t="s">
        <v>3855</v>
      </c>
    </row>
    <row r="33" spans="1:4" ht="11.25" customHeight="1">
      <c r="A33" s="1752" t="s">
        <v>1135</v>
      </c>
      <c r="B33" s="1752" t="s">
        <v>3856</v>
      </c>
      <c r="C33" s="1752" t="s">
        <v>3834</v>
      </c>
      <c r="D33" s="1752" t="s">
        <v>3817</v>
      </c>
    </row>
    <row r="34" spans="1:4" ht="11.25" customHeight="1">
      <c r="A34" s="1752" t="s">
        <v>1137</v>
      </c>
      <c r="B34" s="1752" t="s">
        <v>3857</v>
      </c>
      <c r="C34" s="1752" t="s">
        <v>3834</v>
      </c>
      <c r="D34" s="1752" t="s">
        <v>3858</v>
      </c>
    </row>
    <row r="35" spans="1:4" ht="11.25" customHeight="1">
      <c r="A35" s="1752" t="s">
        <v>1142</v>
      </c>
      <c r="B35" s="1752" t="s">
        <v>3859</v>
      </c>
      <c r="C35" s="1752" t="s">
        <v>3834</v>
      </c>
      <c r="D35" s="1752" t="s">
        <v>3829</v>
      </c>
    </row>
    <row r="36" spans="1:4" ht="11.25" customHeight="1">
      <c r="A36" s="1752" t="s">
        <v>1147</v>
      </c>
      <c r="B36" s="1752" t="s">
        <v>3860</v>
      </c>
      <c r="C36" s="1752" t="s">
        <v>3834</v>
      </c>
      <c r="D36" s="1752" t="s">
        <v>3817</v>
      </c>
    </row>
    <row r="37" spans="1:4" ht="11.25" customHeight="1">
      <c r="A37" s="1752" t="s">
        <v>1150</v>
      </c>
      <c r="B37" s="1752" t="s">
        <v>3861</v>
      </c>
      <c r="C37" s="1752" t="s">
        <v>3831</v>
      </c>
      <c r="D37" s="1752" t="s">
        <v>3862</v>
      </c>
    </row>
    <row r="38" spans="1:4" ht="11.25" customHeight="1">
      <c r="A38" s="1752" t="s">
        <v>1158</v>
      </c>
      <c r="B38" s="1752" t="s">
        <v>3863</v>
      </c>
      <c r="C38" s="1752" t="s">
        <v>3831</v>
      </c>
      <c r="D38" s="1752" t="s">
        <v>3855</v>
      </c>
    </row>
    <row r="39" spans="1:4" ht="11.25" customHeight="1">
      <c r="A39" s="1752" t="s">
        <v>1164</v>
      </c>
      <c r="B39" s="1752" t="s">
        <v>3864</v>
      </c>
      <c r="C39" s="1752" t="s">
        <v>3834</v>
      </c>
      <c r="D39" s="1752" t="s">
        <v>3842</v>
      </c>
    </row>
    <row r="40" spans="1:4" ht="11.25" customHeight="1">
      <c r="A40" s="1752" t="s">
        <v>1170</v>
      </c>
      <c r="B40" s="1752" t="s">
        <v>3865</v>
      </c>
      <c r="C40" s="1752" t="s">
        <v>3834</v>
      </c>
      <c r="D40" s="1752" t="s">
        <v>3842</v>
      </c>
    </row>
    <row r="41" spans="1:4" ht="11.25" customHeight="1">
      <c r="A41" s="1752" t="s">
        <v>1176</v>
      </c>
      <c r="B41" s="1752" t="s">
        <v>3866</v>
      </c>
      <c r="C41" s="1752" t="s">
        <v>3834</v>
      </c>
      <c r="D41" s="1752" t="s">
        <v>3819</v>
      </c>
    </row>
    <row r="42" spans="1:4" ht="11.25" customHeight="1">
      <c r="A42" s="1752" t="s">
        <v>1181</v>
      </c>
      <c r="B42" s="1752" t="s">
        <v>3867</v>
      </c>
      <c r="C42" s="1752" t="s">
        <v>3834</v>
      </c>
      <c r="D42" s="1752" t="s">
        <v>3819</v>
      </c>
    </row>
    <row r="43" spans="1:4" ht="11.25" customHeight="1">
      <c r="A43" s="1752" t="s">
        <v>1188</v>
      </c>
      <c r="B43" s="1752" t="s">
        <v>3868</v>
      </c>
      <c r="C43" s="1752" t="s">
        <v>3831</v>
      </c>
      <c r="D43" s="1752" t="s">
        <v>3869</v>
      </c>
    </row>
    <row r="44" spans="1:4" ht="11.25" customHeight="1">
      <c r="A44" s="1752" t="s">
        <v>1197</v>
      </c>
      <c r="B44" s="1752" t="s">
        <v>3870</v>
      </c>
      <c r="C44" s="1752" t="s">
        <v>3834</v>
      </c>
      <c r="D44" s="1752" t="s">
        <v>3819</v>
      </c>
    </row>
    <row r="45" spans="1:4" ht="11.25" customHeight="1">
      <c r="A45" s="1752" t="s">
        <v>1203</v>
      </c>
      <c r="B45" s="1752" t="s">
        <v>3871</v>
      </c>
      <c r="C45" s="1752" t="s">
        <v>3872</v>
      </c>
      <c r="D45" s="1752" t="s">
        <v>3847</v>
      </c>
    </row>
    <row r="46" spans="1:4" ht="11.25" customHeight="1">
      <c r="A46" s="1752" t="s">
        <v>474</v>
      </c>
      <c r="B46" s="1752" t="s">
        <v>3873</v>
      </c>
      <c r="C46" s="1752" t="s">
        <v>3874</v>
      </c>
      <c r="D46" s="1752" t="s">
        <v>3875</v>
      </c>
    </row>
    <row r="47" spans="1:4" ht="11.25" customHeight="1">
      <c r="A47" s="1752" t="s">
        <v>1212</v>
      </c>
      <c r="B47" s="1752" t="s">
        <v>3876</v>
      </c>
      <c r="C47" s="1752" t="s">
        <v>3874</v>
      </c>
      <c r="D47" s="1752" t="s">
        <v>3875</v>
      </c>
    </row>
    <row r="48" spans="1:4" ht="11.25" customHeight="1">
      <c r="A48" s="1752" t="s">
        <v>721</v>
      </c>
      <c r="B48" s="1752" t="s">
        <v>3877</v>
      </c>
      <c r="C48" s="1752" t="s">
        <v>3874</v>
      </c>
      <c r="D48" s="1752" t="s">
        <v>3875</v>
      </c>
    </row>
    <row r="49" spans="1:4" ht="11.25" customHeight="1">
      <c r="A49" s="1752" t="s">
        <v>99</v>
      </c>
      <c r="B49" s="1752" t="s">
        <v>3878</v>
      </c>
      <c r="C49" s="1752" t="s">
        <v>3879</v>
      </c>
      <c r="D49" s="1752" t="s">
        <v>3817</v>
      </c>
    </row>
    <row r="50" spans="1:4" ht="11.25" customHeight="1">
      <c r="A50" s="1752" t="s">
        <v>1224</v>
      </c>
      <c r="B50" s="1752" t="s">
        <v>3880</v>
      </c>
      <c r="C50" s="1752" t="s">
        <v>3879</v>
      </c>
      <c r="D50" s="1752" t="s">
        <v>3819</v>
      </c>
    </row>
    <row r="51" spans="1:4" ht="11.25" customHeight="1">
      <c r="A51" s="1752" t="s">
        <v>1228</v>
      </c>
      <c r="B51" s="1752" t="s">
        <v>3881</v>
      </c>
      <c r="C51" s="1752" t="s">
        <v>3882</v>
      </c>
      <c r="D51" s="1752" t="s">
        <v>3817</v>
      </c>
    </row>
    <row r="52" spans="1:4" ht="11.25" customHeight="1">
      <c r="A52" s="1752" t="s">
        <v>1232</v>
      </c>
      <c r="B52" s="1752" t="s">
        <v>3883</v>
      </c>
      <c r="C52" s="1752" t="s">
        <v>3884</v>
      </c>
      <c r="D52" s="1752" t="s">
        <v>3885</v>
      </c>
    </row>
    <row r="53" spans="1:4" ht="11.25" customHeight="1">
      <c r="A53" s="1752" t="s">
        <v>1234</v>
      </c>
      <c r="B53" s="1752" t="s">
        <v>3886</v>
      </c>
      <c r="C53" s="1752" t="s">
        <v>3884</v>
      </c>
      <c r="D53" s="1752" t="s">
        <v>3825</v>
      </c>
    </row>
    <row r="54" spans="1:4" ht="11.25" customHeight="1">
      <c r="A54" s="1752" t="s">
        <v>1237</v>
      </c>
      <c r="B54" s="1752" t="s">
        <v>3887</v>
      </c>
      <c r="C54" s="1752" t="s">
        <v>3882</v>
      </c>
      <c r="D54" s="1752" t="s">
        <v>3888</v>
      </c>
    </row>
    <row r="55" spans="1:4" ht="11.25" customHeight="1">
      <c r="A55" s="1752" t="s">
        <v>1241</v>
      </c>
      <c r="B55" s="1752" t="s">
        <v>3889</v>
      </c>
      <c r="C55" s="1752" t="s">
        <v>3879</v>
      </c>
      <c r="D55" s="1752" t="s">
        <v>3869</v>
      </c>
    </row>
    <row r="56" spans="1:4" ht="11.25" customHeight="1">
      <c r="A56" s="1752" t="s">
        <v>1244</v>
      </c>
      <c r="B56" s="1752" t="s">
        <v>3890</v>
      </c>
      <c r="C56" s="1752" t="s">
        <v>3879</v>
      </c>
      <c r="D56" s="1752" t="s">
        <v>3817</v>
      </c>
    </row>
    <row r="57" spans="1:4" ht="11.25" customHeight="1">
      <c r="A57" s="1752" t="s">
        <v>1247</v>
      </c>
      <c r="B57" s="1752" t="s">
        <v>3891</v>
      </c>
      <c r="C57" s="1752" t="s">
        <v>3879</v>
      </c>
      <c r="D57" s="1752" t="s">
        <v>3842</v>
      </c>
    </row>
    <row r="58" spans="1:4" ht="11.25" customHeight="1">
      <c r="A58" s="1752" t="s">
        <v>1250</v>
      </c>
      <c r="B58" s="1752" t="s">
        <v>3892</v>
      </c>
      <c r="C58" s="1752" t="s">
        <v>3879</v>
      </c>
      <c r="D58" s="1752" t="s">
        <v>3869</v>
      </c>
    </row>
    <row r="59" spans="1:4" ht="11.25" customHeight="1">
      <c r="A59" s="1752" t="s">
        <v>1254</v>
      </c>
      <c r="B59" s="1752" t="s">
        <v>3893</v>
      </c>
      <c r="C59" s="1752" t="s">
        <v>3894</v>
      </c>
      <c r="D59" s="1752" t="s">
        <v>3895</v>
      </c>
    </row>
    <row r="60" spans="1:4" ht="11.25" customHeight="1">
      <c r="A60" s="1752" t="s">
        <v>1257</v>
      </c>
      <c r="B60" s="1752" t="s">
        <v>3896</v>
      </c>
      <c r="C60" s="1752" t="s">
        <v>3894</v>
      </c>
      <c r="D60" s="1752" t="s">
        <v>3895</v>
      </c>
    </row>
    <row r="61" spans="1:4" ht="11.25" customHeight="1">
      <c r="A61" s="1752" t="s">
        <v>3897</v>
      </c>
      <c r="B61" s="1752" t="s">
        <v>3898</v>
      </c>
      <c r="C61" s="1752" t="s">
        <v>3899</v>
      </c>
      <c r="D61" s="1752" t="s">
        <v>3842</v>
      </c>
    </row>
    <row r="62" spans="1:4" ht="11.25" customHeight="1">
      <c r="A62" s="1752" t="s">
        <v>3900</v>
      </c>
      <c r="B62" s="1752" t="s">
        <v>3901</v>
      </c>
      <c r="C62" s="1752" t="s">
        <v>3902</v>
      </c>
      <c r="D62" s="1752" t="s">
        <v>3829</v>
      </c>
    </row>
    <row r="63" spans="1:4" ht="11.25" customHeight="1">
      <c r="A63" s="1752" t="s">
        <v>3903</v>
      </c>
      <c r="B63" s="1752" t="s">
        <v>3904</v>
      </c>
      <c r="C63" s="1752" t="s">
        <v>3879</v>
      </c>
      <c r="D63" s="1752" t="s">
        <v>3905</v>
      </c>
    </row>
    <row r="64" spans="1:4" ht="11.25" customHeight="1">
      <c r="A64" s="1752" t="s">
        <v>3906</v>
      </c>
      <c r="B64" s="1752" t="s">
        <v>3907</v>
      </c>
      <c r="C64" s="1752" t="s">
        <v>3879</v>
      </c>
      <c r="D64" s="1752" t="s">
        <v>3905</v>
      </c>
    </row>
    <row r="65" spans="1:4" ht="11.25" customHeight="1">
      <c r="A65" s="1752" t="s">
        <v>3908</v>
      </c>
      <c r="B65" s="1752" t="s">
        <v>3909</v>
      </c>
      <c r="C65" s="1752" t="s">
        <v>3910</v>
      </c>
      <c r="D65" s="1752" t="s">
        <v>3847</v>
      </c>
    </row>
    <row r="66" spans="1:4" ht="11.25" customHeight="1">
      <c r="A66" s="1752" t="s">
        <v>3911</v>
      </c>
      <c r="B66" s="1752" t="s">
        <v>3912</v>
      </c>
      <c r="C66" s="1752" t="s">
        <v>3913</v>
      </c>
      <c r="D66" s="1752" t="s">
        <v>3822</v>
      </c>
    </row>
    <row r="67" spans="1:4" ht="11.25" customHeight="1">
      <c r="A67" s="1752" t="s">
        <v>475</v>
      </c>
      <c r="B67" s="1752" t="s">
        <v>3914</v>
      </c>
      <c r="C67" s="1752" t="s">
        <v>3884</v>
      </c>
      <c r="D67" s="1752" t="s">
        <v>3817</v>
      </c>
    </row>
    <row r="68" spans="1:4" ht="11.25" customHeight="1">
      <c r="A68" s="1752" t="s">
        <v>3915</v>
      </c>
      <c r="B68" s="1752" t="s">
        <v>3916</v>
      </c>
      <c r="C68" s="1752" t="s">
        <v>3917</v>
      </c>
      <c r="D68" s="1752" t="s">
        <v>3835</v>
      </c>
    </row>
    <row r="69" spans="1:4" ht="11.25" customHeight="1">
      <c r="A69" s="1752" t="s">
        <v>722</v>
      </c>
      <c r="B69" s="1752" t="s">
        <v>3918</v>
      </c>
      <c r="C69" s="1752" t="s">
        <v>3841</v>
      </c>
      <c r="D69" s="1752" t="s">
        <v>3855</v>
      </c>
    </row>
    <row r="70" spans="1:4" ht="11.25" customHeight="1">
      <c r="A70" s="1752" t="s">
        <v>3919</v>
      </c>
      <c r="B70" s="1752" t="s">
        <v>3920</v>
      </c>
      <c r="C70" s="1752" t="s">
        <v>3834</v>
      </c>
      <c r="D70" s="1752" t="s">
        <v>1986</v>
      </c>
    </row>
    <row r="71" spans="1:4" ht="11.25" customHeight="1">
      <c r="A71" s="1752" t="s">
        <v>3921</v>
      </c>
      <c r="B71" s="1752" t="s">
        <v>3922</v>
      </c>
      <c r="C71" s="1752" t="s">
        <v>3834</v>
      </c>
      <c r="D71" s="1752" t="s">
        <v>3847</v>
      </c>
    </row>
    <row r="72" spans="1:4" ht="11.25" customHeight="1">
      <c r="A72" s="1752" t="s">
        <v>3923</v>
      </c>
      <c r="B72" s="1752" t="s">
        <v>3924</v>
      </c>
      <c r="C72" s="1752" t="s">
        <v>3925</v>
      </c>
      <c r="D72" s="1752" t="s">
        <v>3926</v>
      </c>
    </row>
    <row r="73" spans="1:4" ht="11.25" customHeight="1">
      <c r="A73" s="1752" t="s">
        <v>3927</v>
      </c>
      <c r="B73" s="1752" t="s">
        <v>3928</v>
      </c>
      <c r="C73" s="1752" t="s">
        <v>3882</v>
      </c>
      <c r="D73" s="1752" t="s">
        <v>3862</v>
      </c>
    </row>
    <row r="74" spans="1:4" ht="11.25" customHeight="1">
      <c r="A74" s="1752" t="s">
        <v>3929</v>
      </c>
      <c r="B74" s="1752" t="s">
        <v>3930</v>
      </c>
      <c r="C74" s="1752" t="s">
        <v>3882</v>
      </c>
      <c r="D74" s="1752" t="s">
        <v>3888</v>
      </c>
    </row>
    <row r="75" spans="1:4" ht="11.25" customHeight="1">
      <c r="A75" s="1752" t="s">
        <v>3931</v>
      </c>
      <c r="B75" s="1752" t="s">
        <v>3932</v>
      </c>
      <c r="C75" s="1752" t="s">
        <v>3882</v>
      </c>
      <c r="D75" s="1752" t="s">
        <v>3807</v>
      </c>
    </row>
    <row r="76" spans="1:4" ht="11.25" customHeight="1">
      <c r="A76" s="1752" t="s">
        <v>3933</v>
      </c>
      <c r="B76" s="1752" t="s">
        <v>3934</v>
      </c>
      <c r="C76" s="1752" t="s">
        <v>3884</v>
      </c>
      <c r="D76" s="1752" t="s">
        <v>1986</v>
      </c>
    </row>
    <row r="77" spans="1:4" ht="11.25" customHeight="1">
      <c r="A77" s="1752" t="s">
        <v>3935</v>
      </c>
      <c r="B77" s="1752" t="s">
        <v>3936</v>
      </c>
      <c r="C77" s="1752" t="s">
        <v>3841</v>
      </c>
      <c r="D77" s="1752" t="s">
        <v>3822</v>
      </c>
    </row>
    <row r="78" spans="1:4" ht="11.25" customHeight="1">
      <c r="A78" s="1752" t="s">
        <v>3937</v>
      </c>
      <c r="B78" s="1752" t="s">
        <v>3938</v>
      </c>
      <c r="C78" s="1752" t="s">
        <v>3834</v>
      </c>
      <c r="D78" s="1752" t="s">
        <v>3939</v>
      </c>
    </row>
    <row r="79" spans="1:4" ht="11.25" customHeight="1">
      <c r="A79" s="1752" t="s">
        <v>3940</v>
      </c>
      <c r="B79" s="1752" t="s">
        <v>3941</v>
      </c>
      <c r="C79" s="1752" t="s">
        <v>3834</v>
      </c>
      <c r="D79" s="1752" t="s">
        <v>3939</v>
      </c>
    </row>
    <row r="80" spans="1:4" ht="11.25" customHeight="1">
      <c r="A80" s="1752" t="s">
        <v>3942</v>
      </c>
      <c r="B80" s="1752" t="s">
        <v>3943</v>
      </c>
      <c r="C80" s="1752" t="s">
        <v>3841</v>
      </c>
      <c r="D80" s="1752" t="s">
        <v>3822</v>
      </c>
    </row>
    <row r="81" spans="1:4" ht="11.25" customHeight="1">
      <c r="A81" s="1752" t="s">
        <v>3944</v>
      </c>
      <c r="B81" s="1752" t="s">
        <v>3945</v>
      </c>
      <c r="C81" s="1752" t="s">
        <v>3841</v>
      </c>
      <c r="D81" s="1752" t="s">
        <v>3822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3"/>
  </cols>
  <sheetData>
    <row r="1" spans="1:2" ht="11.25" customHeight="1">
      <c r="A1" s="3" t="s">
        <v>131</v>
      </c>
      <c r="B1" s="3" t="s">
        <v>3946</v>
      </c>
    </row>
    <row r="2" spans="1:2" ht="11.25" customHeight="1">
      <c r="A2" s="3" t="s">
        <v>98</v>
      </c>
      <c r="B2" s="3" t="s">
        <v>3947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887"/>
    <col min="2" max="2" width="65.28515625" style="1887" customWidth="1"/>
  </cols>
  <sheetData>
    <row r="1" spans="1:2" ht="11.25" customHeight="1">
      <c r="A1" s="741" t="s">
        <v>3948</v>
      </c>
      <c r="B1" s="741" t="s">
        <v>3949</v>
      </c>
    </row>
    <row r="2" spans="1:2" ht="11.25" customHeight="1">
      <c r="A2" s="741">
        <v>4213775</v>
      </c>
      <c r="B2" s="741" t="s">
        <v>782</v>
      </c>
    </row>
    <row r="3" spans="1:2" ht="11.25" customHeight="1">
      <c r="A3" s="741">
        <v>4213784</v>
      </c>
      <c r="B3" s="741" t="s">
        <v>818</v>
      </c>
    </row>
    <row r="4" spans="1:2" ht="11.25" customHeight="1">
      <c r="A4" s="741">
        <v>4213781</v>
      </c>
      <c r="B4" s="741" t="s">
        <v>811</v>
      </c>
    </row>
    <row r="5" spans="1:2" ht="11.25" customHeight="1">
      <c r="A5" s="741">
        <v>4213776</v>
      </c>
      <c r="B5" s="741" t="s">
        <v>169</v>
      </c>
    </row>
    <row r="6" spans="1:2" ht="11.25" customHeight="1">
      <c r="A6" s="741">
        <v>4213777</v>
      </c>
      <c r="B6" s="741" t="s">
        <v>175</v>
      </c>
    </row>
    <row r="7" spans="1:2" ht="11.25" customHeight="1">
      <c r="A7" s="741">
        <v>4213778</v>
      </c>
      <c r="B7" s="741" t="s">
        <v>181</v>
      </c>
    </row>
    <row r="8" spans="1:2" ht="11.25" customHeight="1">
      <c r="A8" s="741">
        <v>4213780</v>
      </c>
      <c r="B8" s="741" t="s">
        <v>187</v>
      </c>
    </row>
    <row r="9" spans="1:2" ht="11.25" customHeight="1">
      <c r="A9" s="741">
        <v>4213779</v>
      </c>
      <c r="B9" s="741" t="s">
        <v>950</v>
      </c>
    </row>
    <row r="10" spans="1:2" ht="11.25" customHeight="1">
      <c r="A10" s="741">
        <v>4213783</v>
      </c>
      <c r="B10" s="741" t="s">
        <v>964</v>
      </c>
    </row>
    <row r="11" spans="1:2" ht="11.25" customHeight="1">
      <c r="A11" s="741">
        <v>4213782</v>
      </c>
      <c r="B11" s="741" t="s">
        <v>196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887"/>
    <col min="2" max="2" width="65.28515625" style="1887" customWidth="1"/>
  </cols>
  <sheetData>
    <row r="1" spans="1:2" ht="11.25" customHeight="1">
      <c r="A1" s="741" t="s">
        <v>3948</v>
      </c>
      <c r="B1" s="741" t="s">
        <v>3950</v>
      </c>
    </row>
    <row r="2" spans="1:2" ht="11.25" customHeight="1">
      <c r="A2" s="741" t="s">
        <v>3951</v>
      </c>
      <c r="B2" s="741" t="s">
        <v>1058</v>
      </c>
    </row>
    <row r="3" spans="1:2" ht="11.25" customHeight="1">
      <c r="A3" s="741" t="s">
        <v>3952</v>
      </c>
      <c r="B3" s="741" t="s">
        <v>1067</v>
      </c>
    </row>
    <row r="4" spans="1:2" ht="11.25" customHeight="1">
      <c r="A4" s="741" t="s">
        <v>118</v>
      </c>
      <c r="B4" s="741" t="s">
        <v>1077</v>
      </c>
    </row>
    <row r="5" spans="1:2" ht="11.25" customHeight="1">
      <c r="A5" s="741" t="s">
        <v>3953</v>
      </c>
      <c r="B5" s="741" t="s">
        <v>1086</v>
      </c>
    </row>
    <row r="6" spans="1:2" ht="11.25" customHeight="1">
      <c r="A6" s="741" t="s">
        <v>3954</v>
      </c>
      <c r="B6" s="741" t="s">
        <v>1091</v>
      </c>
    </row>
    <row r="7" spans="1:2" ht="11.25" customHeight="1">
      <c r="A7" s="741" t="s">
        <v>3955</v>
      </c>
      <c r="B7" s="741" t="s">
        <v>1098</v>
      </c>
    </row>
    <row r="8" spans="1:2" ht="11.25" customHeight="1">
      <c r="A8" s="741" t="s">
        <v>3956</v>
      </c>
      <c r="B8" s="741" t="s">
        <v>1103</v>
      </c>
    </row>
    <row r="9" spans="1:2" ht="11.25" customHeight="1">
      <c r="A9" s="741" t="s">
        <v>3957</v>
      </c>
      <c r="B9" s="741" t="s">
        <v>1107</v>
      </c>
    </row>
    <row r="10" spans="1:2" ht="11.25" customHeight="1">
      <c r="A10" s="741" t="s">
        <v>3958</v>
      </c>
      <c r="B10" s="741" t="s">
        <v>1111</v>
      </c>
    </row>
    <row r="11" spans="1:2" ht="11.25" customHeight="1">
      <c r="A11" s="741" t="s">
        <v>3959</v>
      </c>
      <c r="B11" s="741" t="s">
        <v>1117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S17"/>
  <sheetViews>
    <sheetView showGridLines="0" topLeftCell="C3" zoomScale="90" workbookViewId="0"/>
  </sheetViews>
  <sheetFormatPr defaultColWidth="10.5703125" defaultRowHeight="14.25" customHeight="1"/>
  <cols>
    <col min="1" max="1" width="9.140625" style="1741" hidden="1" customWidth="1"/>
    <col min="2" max="2" width="9.140625" style="1846" hidden="1" customWidth="1"/>
    <col min="3" max="3" width="3.7109375" style="1760" customWidth="1"/>
    <col min="4" max="4" width="5.5703125" style="1846" customWidth="1"/>
    <col min="5" max="5" width="48.42578125" style="1846" customWidth="1"/>
    <col min="6" max="6" width="38.140625" style="1846" customWidth="1"/>
    <col min="7" max="7" width="1.7109375" style="1846" hidden="1" customWidth="1"/>
    <col min="8" max="11" width="19.85546875" style="1846" customWidth="1"/>
    <col min="12" max="12" width="9.7109375" style="1846" customWidth="1"/>
    <col min="13" max="18" width="19.85546875" style="1846" customWidth="1"/>
    <col min="19" max="19" width="1.7109375" style="1846" hidden="1" customWidth="1"/>
    <col min="20" max="22" width="19.85546875" style="1846" hidden="1" customWidth="1"/>
    <col min="23" max="23" width="1.7109375" style="1846" hidden="1" customWidth="1"/>
    <col min="24" max="26" width="19.85546875" style="1846" hidden="1" customWidth="1"/>
    <col min="27" max="27" width="1.7109375" style="1846" hidden="1" customWidth="1"/>
    <col min="28" max="29" width="19.85546875" style="1846" hidden="1" customWidth="1"/>
    <col min="30" max="30" width="1.7109375" style="1846" hidden="1" customWidth="1"/>
    <col min="31" max="31" width="103.7109375" style="1846" customWidth="1"/>
    <col min="32" max="34" width="103.7109375" style="1846" hidden="1" customWidth="1"/>
    <col min="35" max="35" width="3.7109375" style="1651" customWidth="1"/>
    <col min="36" max="38" width="10.5703125" style="1772"/>
    <col min="39" max="39" width="13.7109375" style="1772" hidden="1" customWidth="1"/>
    <col min="40" max="40" width="15.42578125" style="1772" customWidth="1"/>
    <col min="41" max="41" width="16.28515625" style="1772" customWidth="1"/>
    <col min="42" max="45" width="10.5703125" style="1772"/>
  </cols>
  <sheetData>
    <row r="1" spans="1:45" ht="14.25" hidden="1" customHeight="1">
      <c r="E1" s="347"/>
      <c r="F1" s="347"/>
      <c r="G1" s="347"/>
      <c r="H1" s="2129" t="s">
        <v>346</v>
      </c>
      <c r="I1" s="2129"/>
      <c r="J1" s="2129"/>
      <c r="K1" s="2129"/>
      <c r="L1" s="2129"/>
      <c r="M1" s="2129"/>
      <c r="N1" s="2129"/>
      <c r="O1" s="2129"/>
      <c r="P1" s="2129"/>
      <c r="Q1" s="2129"/>
      <c r="R1" s="2129"/>
      <c r="T1" s="2129" t="s">
        <v>347</v>
      </c>
      <c r="U1" s="2129"/>
      <c r="V1" s="2129"/>
      <c r="X1" s="2129" t="s">
        <v>348</v>
      </c>
      <c r="Y1" s="2129"/>
      <c r="Z1" s="2129"/>
      <c r="AB1" s="2129" t="s">
        <v>349</v>
      </c>
      <c r="AC1" s="2129"/>
    </row>
    <row r="2" spans="1:45" ht="14.25" hidden="1" customHeight="1"/>
    <row r="3" spans="1:45" s="1652" customFormat="1" ht="6" customHeight="1">
      <c r="C3" s="615"/>
      <c r="D3" s="616"/>
      <c r="E3" s="616"/>
      <c r="F3" s="616"/>
      <c r="G3" s="616"/>
      <c r="H3" s="616" t="s">
        <v>350</v>
      </c>
      <c r="I3" s="616"/>
      <c r="J3" s="616"/>
      <c r="K3" s="616"/>
      <c r="L3" s="616"/>
      <c r="M3" s="616"/>
      <c r="N3" s="616"/>
      <c r="O3" s="616"/>
      <c r="P3" s="616"/>
      <c r="Q3" s="616"/>
      <c r="R3" s="616"/>
      <c r="S3" s="616"/>
      <c r="T3" s="616"/>
      <c r="U3" s="616"/>
      <c r="V3" s="616"/>
      <c r="W3" s="616"/>
      <c r="X3" s="616"/>
      <c r="Y3" s="616"/>
      <c r="Z3" s="616"/>
      <c r="AA3" s="616"/>
      <c r="AB3" s="616"/>
      <c r="AC3" s="616"/>
      <c r="AD3" s="616"/>
      <c r="AE3" s="616"/>
      <c r="AF3" s="616"/>
      <c r="AG3" s="616"/>
      <c r="AH3" s="616"/>
      <c r="AJ3" s="439"/>
      <c r="AK3" s="439"/>
      <c r="AL3" s="439"/>
      <c r="AM3" s="439"/>
      <c r="AN3" s="439"/>
      <c r="AO3" s="439"/>
      <c r="AP3" s="439"/>
      <c r="AQ3" s="439"/>
      <c r="AR3" s="439"/>
      <c r="AS3" s="439"/>
    </row>
    <row r="4" spans="1:45" ht="24" customHeight="1">
      <c r="C4" s="383"/>
      <c r="D4" s="2014" t="str">
        <f>"Форма 2. Общая информация об объектах "&amp;TEMPLATE_SPHERE_RUS&amp;" регулируемой организации"&amp;IF(TEMPLATE_SPHERE="HEAT",",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f>
        <v>Форма 2. Общая информация об объектах теплоснабжения регулируемой организации,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v>
      </c>
      <c r="E4" s="2015"/>
      <c r="F4" s="2015"/>
      <c r="G4" s="2015"/>
      <c r="H4" s="2015"/>
      <c r="I4" s="2015"/>
      <c r="J4" s="2015"/>
      <c r="K4" s="2015"/>
      <c r="L4" s="2015"/>
      <c r="M4" s="2015"/>
      <c r="N4" s="2015"/>
      <c r="O4" s="2015"/>
      <c r="P4" s="2015"/>
      <c r="Q4" s="2015"/>
      <c r="R4" s="2016"/>
      <c r="S4" s="755"/>
      <c r="T4" s="614"/>
      <c r="U4" s="614"/>
      <c r="V4" s="614"/>
      <c r="W4" s="614"/>
      <c r="X4" s="614"/>
      <c r="Y4" s="614"/>
      <c r="Z4" s="614"/>
      <c r="AA4" s="614"/>
      <c r="AB4" s="614"/>
      <c r="AC4" s="614"/>
      <c r="AD4" s="614"/>
      <c r="AE4" s="419"/>
      <c r="AF4" s="419"/>
      <c r="AG4" s="419"/>
      <c r="AH4" s="419"/>
      <c r="AI4" s="416"/>
    </row>
    <row r="5" spans="1:45" s="1846" customFormat="1" ht="17.25" customHeight="1">
      <c r="A5" s="670"/>
      <c r="C5" s="728"/>
      <c r="D5" s="2126" t="str">
        <f>IF(org=0,"Не определено",org)</f>
        <v>ООО "Автозаводская ТЭЦ"</v>
      </c>
      <c r="E5" s="2127"/>
      <c r="F5" s="2127"/>
      <c r="G5" s="2127"/>
      <c r="H5" s="2127"/>
      <c r="I5" s="2127"/>
      <c r="J5" s="2127"/>
      <c r="K5" s="2127"/>
      <c r="L5" s="2127"/>
      <c r="M5" s="2127"/>
      <c r="N5" s="2127"/>
      <c r="O5" s="2127"/>
      <c r="P5" s="2127"/>
      <c r="Q5" s="2127"/>
      <c r="R5" s="2128"/>
      <c r="S5" s="755"/>
      <c r="T5" s="614"/>
      <c r="U5" s="614"/>
      <c r="V5" s="614"/>
      <c r="W5" s="614"/>
      <c r="X5" s="614"/>
      <c r="Y5" s="614"/>
      <c r="Z5" s="614"/>
      <c r="AA5" s="614"/>
      <c r="AB5" s="614"/>
      <c r="AC5" s="614"/>
      <c r="AD5" s="614"/>
      <c r="AE5" s="419"/>
      <c r="AF5" s="419"/>
      <c r="AG5" s="419"/>
      <c r="AH5" s="419"/>
      <c r="AI5" s="416"/>
      <c r="AJ5" s="439"/>
      <c r="AK5" s="439"/>
      <c r="AL5" s="439"/>
      <c r="AM5" s="439"/>
      <c r="AN5" s="439"/>
      <c r="AO5" s="439"/>
      <c r="AP5" s="439"/>
      <c r="AQ5" s="439"/>
      <c r="AR5" s="439"/>
      <c r="AS5" s="439"/>
    </row>
    <row r="6" spans="1:45" s="1653" customFormat="1" ht="11.25" customHeight="1">
      <c r="A6" s="407"/>
      <c r="C6" s="414"/>
      <c r="D6" s="413"/>
      <c r="E6" s="413"/>
      <c r="F6" s="413"/>
      <c r="G6" s="413"/>
      <c r="H6" s="413"/>
      <c r="I6" s="413"/>
      <c r="J6" s="413"/>
      <c r="K6" s="413"/>
      <c r="L6" s="413"/>
      <c r="M6" s="413"/>
      <c r="N6" s="413"/>
      <c r="O6" s="413"/>
      <c r="P6" s="413"/>
      <c r="Q6" s="413"/>
      <c r="R6" s="665"/>
      <c r="S6" s="665"/>
      <c r="T6" s="413"/>
      <c r="U6" s="413"/>
      <c r="V6" s="626"/>
      <c r="W6" s="626"/>
      <c r="X6" s="413"/>
      <c r="Y6" s="413"/>
      <c r="Z6" s="626"/>
      <c r="AA6" s="626"/>
      <c r="AB6" s="413"/>
      <c r="AC6" s="626"/>
      <c r="AD6" s="626"/>
      <c r="AE6" s="413"/>
      <c r="AF6" s="413"/>
      <c r="AG6" s="413"/>
      <c r="AH6" s="413"/>
      <c r="AJ6" s="417"/>
      <c r="AK6" s="417"/>
      <c r="AL6" s="417"/>
      <c r="AM6" s="417"/>
      <c r="AN6" s="417"/>
      <c r="AO6" s="417"/>
      <c r="AP6" s="417"/>
      <c r="AQ6" s="417"/>
      <c r="AR6" s="417"/>
      <c r="AS6" s="417"/>
    </row>
    <row r="7" spans="1:45" ht="14.25" customHeight="1">
      <c r="C7" s="383"/>
      <c r="D7" s="2117" t="s">
        <v>292</v>
      </c>
      <c r="E7" s="2130"/>
      <c r="F7" s="2130"/>
      <c r="G7" s="2130"/>
      <c r="H7" s="2130"/>
      <c r="I7" s="2130"/>
      <c r="J7" s="2130"/>
      <c r="K7" s="2130"/>
      <c r="L7" s="2130"/>
      <c r="M7" s="2130"/>
      <c r="N7" s="2130"/>
      <c r="O7" s="2130"/>
      <c r="P7" s="2130"/>
      <c r="Q7" s="2130"/>
      <c r="R7" s="2130"/>
      <c r="S7" s="2130"/>
      <c r="T7" s="2130"/>
      <c r="U7" s="2130"/>
      <c r="V7" s="2130"/>
      <c r="W7" s="2130"/>
      <c r="X7" s="2130"/>
      <c r="Y7" s="2130"/>
      <c r="Z7" s="2130"/>
      <c r="AA7" s="2130"/>
      <c r="AB7" s="2130"/>
      <c r="AC7" s="2130"/>
      <c r="AD7" s="2131"/>
      <c r="AE7" s="2078" t="s">
        <v>293</v>
      </c>
      <c r="AF7" s="2078" t="s">
        <v>293</v>
      </c>
      <c r="AG7" s="2078" t="s">
        <v>293</v>
      </c>
      <c r="AH7" s="2078" t="s">
        <v>293</v>
      </c>
    </row>
    <row r="8" spans="1:45" ht="25.5" customHeight="1">
      <c r="C8" s="383"/>
      <c r="D8" s="2021" t="s">
        <v>88</v>
      </c>
      <c r="E8" s="2078" t="str">
        <f>"Наименование "&amp;IF(TEMPLATE_SPHERE&lt;&gt;"HEAT","централизованной ","")&amp;"системы "&amp;TEMPLATE_SPHERE_RUS</f>
        <v>Наименование системы теплоснабжения</v>
      </c>
      <c r="F8" s="2078" t="str">
        <f>IF(TEMPLATE_SPHERE&lt;&gt;"HEAT","Регулируемый вид деятельности","Вид регулируемой деятельности")</f>
        <v>Вид регулируемой деятельности</v>
      </c>
      <c r="G8" s="734"/>
      <c r="H8" s="2118" t="s">
        <v>351</v>
      </c>
      <c r="I8" s="2122" t="s">
        <v>352</v>
      </c>
      <c r="J8" s="2078" t="s">
        <v>353</v>
      </c>
      <c r="K8" s="2078"/>
      <c r="L8" s="2078"/>
      <c r="M8" s="2117"/>
      <c r="N8" s="2078" t="s">
        <v>354</v>
      </c>
      <c r="O8" s="2078"/>
      <c r="P8" s="2078" t="s">
        <v>355</v>
      </c>
      <c r="Q8" s="2078"/>
      <c r="R8" s="2120" t="s">
        <v>356</v>
      </c>
      <c r="S8" s="730"/>
      <c r="T8" s="2118" t="s">
        <v>357</v>
      </c>
      <c r="U8" s="2118" t="s">
        <v>358</v>
      </c>
      <c r="V8" s="2118" t="s">
        <v>359</v>
      </c>
      <c r="W8" s="732"/>
      <c r="X8" s="2118" t="s">
        <v>360</v>
      </c>
      <c r="Y8" s="2118" t="s">
        <v>361</v>
      </c>
      <c r="Z8" s="2118" t="s">
        <v>362</v>
      </c>
      <c r="AA8" s="732"/>
      <c r="AB8" s="2118" t="s">
        <v>363</v>
      </c>
      <c r="AC8" s="2118" t="s">
        <v>356</v>
      </c>
      <c r="AD8" s="732"/>
      <c r="AE8" s="2078"/>
      <c r="AF8" s="2078"/>
      <c r="AG8" s="2078"/>
      <c r="AH8" s="2078"/>
    </row>
    <row r="9" spans="1:45" ht="33.75" customHeight="1">
      <c r="C9" s="383"/>
      <c r="D9" s="2021"/>
      <c r="E9" s="2078"/>
      <c r="F9" s="2078"/>
      <c r="G9" s="735"/>
      <c r="H9" s="2119"/>
      <c r="I9" s="2123"/>
      <c r="J9" s="359" t="s">
        <v>364</v>
      </c>
      <c r="K9" s="359" t="s">
        <v>365</v>
      </c>
      <c r="L9" s="359" t="s">
        <v>366</v>
      </c>
      <c r="M9" s="364" t="s">
        <v>367</v>
      </c>
      <c r="N9" s="359" t="s">
        <v>368</v>
      </c>
      <c r="O9" s="359" t="s">
        <v>367</v>
      </c>
      <c r="P9" s="359" t="s">
        <v>369</v>
      </c>
      <c r="Q9" s="359" t="s">
        <v>367</v>
      </c>
      <c r="R9" s="2121"/>
      <c r="S9" s="731"/>
      <c r="T9" s="2119"/>
      <c r="U9" s="2119"/>
      <c r="V9" s="2119"/>
      <c r="W9" s="733"/>
      <c r="X9" s="2119"/>
      <c r="Y9" s="2119"/>
      <c r="Z9" s="2119"/>
      <c r="AA9" s="733"/>
      <c r="AB9" s="2119"/>
      <c r="AC9" s="2119"/>
      <c r="AD9" s="733"/>
      <c r="AE9" s="2078"/>
      <c r="AF9" s="2078"/>
      <c r="AG9" s="2078"/>
      <c r="AH9" s="2078"/>
    </row>
    <row r="10" spans="1:45" ht="12" hidden="1" customHeight="1">
      <c r="C10" s="415"/>
      <c r="D10" s="382"/>
      <c r="E10" s="382"/>
      <c r="F10" s="382"/>
      <c r="G10" s="382"/>
      <c r="H10" s="382"/>
      <c r="I10" s="382"/>
      <c r="J10" s="382"/>
      <c r="K10" s="382"/>
      <c r="L10" s="382"/>
      <c r="M10" s="382"/>
      <c r="N10" s="382"/>
      <c r="O10" s="382"/>
      <c r="P10" s="382"/>
      <c r="Q10" s="382"/>
      <c r="R10" s="382"/>
      <c r="S10" s="382"/>
      <c r="T10" s="382"/>
      <c r="U10" s="382"/>
      <c r="V10" s="382"/>
      <c r="W10" s="382"/>
      <c r="X10" s="382"/>
      <c r="Y10" s="382"/>
      <c r="Z10" s="382"/>
      <c r="AA10" s="382"/>
      <c r="AB10" s="382"/>
      <c r="AC10" s="382"/>
      <c r="AD10" s="382"/>
      <c r="AE10" s="382"/>
      <c r="AF10" s="382"/>
      <c r="AG10" s="382"/>
      <c r="AH10" s="382"/>
      <c r="AI10" s="381"/>
      <c r="AP10" s="428"/>
      <c r="AQ10" s="428"/>
    </row>
    <row r="11" spans="1:45" s="1720" customFormat="1" ht="11.25" hidden="1" customHeight="1">
      <c r="C11" s="426"/>
      <c r="D11" s="427" t="s">
        <v>370</v>
      </c>
      <c r="E11" s="427"/>
      <c r="F11" s="427"/>
      <c r="G11" s="427"/>
      <c r="H11" s="425"/>
      <c r="I11" s="425"/>
      <c r="J11" s="425"/>
      <c r="K11" s="425"/>
      <c r="L11" s="425"/>
      <c r="M11" s="425"/>
      <c r="N11" s="425"/>
      <c r="O11" s="425"/>
      <c r="P11" s="425"/>
      <c r="Q11" s="425"/>
      <c r="R11" s="425"/>
      <c r="S11" s="425"/>
      <c r="T11" s="425"/>
      <c r="U11" s="425"/>
      <c r="V11" s="425"/>
      <c r="W11" s="425"/>
      <c r="X11" s="425"/>
      <c r="Y11" s="425"/>
      <c r="Z11" s="425"/>
      <c r="AA11" s="425"/>
      <c r="AB11" s="425"/>
      <c r="AC11" s="425"/>
      <c r="AD11" s="425"/>
      <c r="AE11" s="369"/>
      <c r="AF11" s="369"/>
      <c r="AG11" s="369"/>
      <c r="AH11" s="369"/>
      <c r="AJ11" s="417"/>
      <c r="AK11" s="417"/>
      <c r="AL11" s="417"/>
      <c r="AM11" s="417"/>
      <c r="AN11" s="417"/>
      <c r="AO11" s="417"/>
      <c r="AP11" s="417"/>
      <c r="AQ11" s="417"/>
      <c r="AR11" s="417"/>
      <c r="AS11" s="417"/>
    </row>
    <row r="12" spans="1:45" ht="14.25" customHeight="1">
      <c r="A12" s="381"/>
      <c r="C12" s="383"/>
      <c r="D12" s="368" t="s">
        <v>109</v>
      </c>
      <c r="E12" s="779" t="s">
        <v>17</v>
      </c>
      <c r="F12" s="757"/>
      <c r="G12" s="758"/>
      <c r="H12" s="367"/>
      <c r="I12" s="367"/>
      <c r="J12" s="367"/>
      <c r="K12" s="366"/>
      <c r="L12" s="365"/>
      <c r="M12" s="366"/>
      <c r="N12" s="367"/>
      <c r="O12" s="366"/>
      <c r="P12" s="367"/>
      <c r="Q12" s="366"/>
      <c r="R12" s="367"/>
      <c r="S12" s="756"/>
      <c r="T12" s="367"/>
      <c r="U12" s="367"/>
      <c r="V12" s="367"/>
      <c r="W12" s="733"/>
      <c r="X12" s="367"/>
      <c r="Y12" s="367"/>
      <c r="Z12" s="367"/>
      <c r="AA12" s="733"/>
      <c r="AB12" s="367"/>
      <c r="AC12" s="367"/>
      <c r="AD12" s="733"/>
      <c r="AE12" s="2124" t="s">
        <v>371</v>
      </c>
      <c r="AF12" s="2124" t="s">
        <v>372</v>
      </c>
      <c r="AG12" s="2124" t="s">
        <v>373</v>
      </c>
      <c r="AH12" s="2124" t="s">
        <v>374</v>
      </c>
      <c r="AI12" s="381"/>
      <c r="AM12" s="439"/>
      <c r="AP12" s="428" t="s">
        <v>375</v>
      </c>
      <c r="AQ12" s="428" t="s">
        <v>375</v>
      </c>
    </row>
    <row r="13" spans="1:45" ht="17.25" customHeight="1">
      <c r="A13" s="381"/>
      <c r="C13" s="383"/>
      <c r="D13" s="340"/>
      <c r="E13" s="768" t="str">
        <f>IF(TITLE_DIFFERENTIATION_TYPE="нет","","Добавить систему")</f>
        <v/>
      </c>
      <c r="F13" s="768" t="str">
        <f>IF(TITLE_DIFFERENTIATION_TYPE="нет","Добавить вид деятельности","")</f>
        <v>Добавить вид деятельности</v>
      </c>
      <c r="G13" s="233"/>
      <c r="H13" s="341"/>
      <c r="I13" s="341"/>
      <c r="J13" s="341"/>
      <c r="K13" s="341"/>
      <c r="L13" s="341"/>
      <c r="M13" s="341"/>
      <c r="N13" s="341"/>
      <c r="O13" s="341"/>
      <c r="P13" s="341"/>
      <c r="Q13" s="341"/>
      <c r="R13" s="341"/>
      <c r="S13" s="341"/>
      <c r="T13" s="341"/>
      <c r="U13" s="341"/>
      <c r="V13" s="341"/>
      <c r="W13" s="341"/>
      <c r="X13" s="341"/>
      <c r="Y13" s="341"/>
      <c r="Z13" s="341"/>
      <c r="AA13" s="341"/>
      <c r="AB13" s="341"/>
      <c r="AC13" s="341"/>
      <c r="AD13" s="759"/>
      <c r="AE13" s="2125"/>
      <c r="AF13" s="2125"/>
      <c r="AG13" s="2125"/>
      <c r="AH13" s="2125"/>
      <c r="AI13" s="381"/>
    </row>
    <row r="14" spans="1:45" ht="14.25" customHeight="1">
      <c r="AI14" s="381"/>
    </row>
    <row r="15" spans="1:45" ht="14.25" customHeight="1">
      <c r="E15" s="669"/>
      <c r="L15" s="669"/>
    </row>
    <row r="16" spans="1:45" ht="14.25" customHeight="1">
      <c r="L16" s="669"/>
    </row>
    <row r="17" spans="12:12" ht="14.25" customHeight="1">
      <c r="L17" s="669"/>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H12:J12 AB12:AC12 R12:V12 X12:Z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O12 Q12 K12 M12">
      <formula1>0</formula1>
      <formula2>9.99999999999999E+23</formula2>
    </dataValidation>
    <dataValidation allowBlank="1" showErrorMessage="1" errorTitle="Ошибка" error="Допускается ввод только неотрицательных чисел!" sqref="E11:G11"/>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52"/>
  <sheetViews>
    <sheetView showGridLines="0" workbookViewId="0"/>
  </sheetViews>
  <sheetFormatPr defaultRowHeight="11.25" customHeight="1"/>
  <sheetData>
    <row r="1" spans="1:7" ht="11.25" customHeight="1">
      <c r="A1" s="300" t="s">
        <v>3692</v>
      </c>
      <c r="B1" s="300" t="s">
        <v>3693</v>
      </c>
      <c r="C1" s="300" t="s">
        <v>3694</v>
      </c>
      <c r="D1" s="300" t="s">
        <v>3695</v>
      </c>
      <c r="E1" t="s">
        <v>3696</v>
      </c>
      <c r="F1" t="s">
        <v>3697</v>
      </c>
      <c r="G1" t="s">
        <v>3698</v>
      </c>
    </row>
    <row r="2" spans="1:7" ht="11.25" customHeight="1">
      <c r="A2" t="s">
        <v>14</v>
      </c>
      <c r="B2" t="s">
        <v>3699</v>
      </c>
      <c r="C2" t="s">
        <v>3700</v>
      </c>
      <c r="D2" t="s">
        <v>3699</v>
      </c>
      <c r="E2" t="s">
        <v>3700</v>
      </c>
      <c r="F2" t="s">
        <v>3701</v>
      </c>
      <c r="G2" t="s">
        <v>109</v>
      </c>
    </row>
    <row r="3" spans="1:7" ht="11.25" customHeight="1">
      <c r="A3" t="s">
        <v>14</v>
      </c>
      <c r="B3" t="s">
        <v>3702</v>
      </c>
      <c r="C3" t="s">
        <v>3703</v>
      </c>
      <c r="D3" t="s">
        <v>3702</v>
      </c>
      <c r="E3" t="s">
        <v>3703</v>
      </c>
      <c r="F3" t="s">
        <v>3701</v>
      </c>
      <c r="G3" t="s">
        <v>110</v>
      </c>
    </row>
    <row r="4" spans="1:7" ht="11.25" customHeight="1">
      <c r="A4" t="s">
        <v>14</v>
      </c>
      <c r="B4" t="s">
        <v>3704</v>
      </c>
      <c r="C4" t="s">
        <v>3705</v>
      </c>
      <c r="D4" t="s">
        <v>3704</v>
      </c>
      <c r="E4" t="s">
        <v>3705</v>
      </c>
      <c r="F4" t="s">
        <v>3701</v>
      </c>
      <c r="G4" t="s">
        <v>90</v>
      </c>
    </row>
    <row r="5" spans="1:7" ht="11.25" customHeight="1">
      <c r="A5" t="s">
        <v>14</v>
      </c>
      <c r="B5" t="s">
        <v>3706</v>
      </c>
      <c r="C5" t="s">
        <v>3707</v>
      </c>
      <c r="D5" t="s">
        <v>3706</v>
      </c>
      <c r="E5" t="s">
        <v>3707</v>
      </c>
      <c r="F5" t="s">
        <v>3701</v>
      </c>
      <c r="G5" t="s">
        <v>91</v>
      </c>
    </row>
    <row r="6" spans="1:7" ht="11.25" customHeight="1">
      <c r="A6" t="s">
        <v>14</v>
      </c>
      <c r="B6" t="s">
        <v>3708</v>
      </c>
      <c r="C6" t="s">
        <v>3709</v>
      </c>
      <c r="D6" t="s">
        <v>3708</v>
      </c>
      <c r="E6" t="s">
        <v>3709</v>
      </c>
      <c r="F6" t="s">
        <v>3701</v>
      </c>
      <c r="G6" t="s">
        <v>111</v>
      </c>
    </row>
    <row r="7" spans="1:7" ht="11.25" customHeight="1">
      <c r="A7" t="s">
        <v>14</v>
      </c>
      <c r="B7" t="s">
        <v>3710</v>
      </c>
      <c r="C7" t="s">
        <v>3711</v>
      </c>
      <c r="D7" t="s">
        <v>3710</v>
      </c>
      <c r="E7" t="s">
        <v>3711</v>
      </c>
      <c r="F7" t="s">
        <v>3701</v>
      </c>
      <c r="G7" t="s">
        <v>92</v>
      </c>
    </row>
    <row r="8" spans="1:7" ht="11.25" customHeight="1">
      <c r="A8" t="s">
        <v>14</v>
      </c>
      <c r="B8" t="s">
        <v>3712</v>
      </c>
      <c r="C8" t="s">
        <v>3713</v>
      </c>
      <c r="D8" t="s">
        <v>3712</v>
      </c>
      <c r="E8" t="s">
        <v>3713</v>
      </c>
      <c r="F8" t="s">
        <v>3701</v>
      </c>
      <c r="G8" t="s">
        <v>93</v>
      </c>
    </row>
    <row r="9" spans="1:7" ht="11.25" customHeight="1">
      <c r="A9" t="s">
        <v>14</v>
      </c>
      <c r="B9" t="s">
        <v>3714</v>
      </c>
      <c r="C9" t="s">
        <v>3715</v>
      </c>
      <c r="D9" t="s">
        <v>3714</v>
      </c>
      <c r="E9" t="s">
        <v>3715</v>
      </c>
      <c r="F9" t="s">
        <v>3701</v>
      </c>
      <c r="G9" t="s">
        <v>112</v>
      </c>
    </row>
    <row r="10" spans="1:7" ht="11.25" customHeight="1">
      <c r="A10" t="s">
        <v>14</v>
      </c>
      <c r="B10" t="s">
        <v>3716</v>
      </c>
      <c r="C10" t="s">
        <v>3717</v>
      </c>
      <c r="D10" t="s">
        <v>3716</v>
      </c>
      <c r="E10" t="s">
        <v>3717</v>
      </c>
      <c r="F10" t="s">
        <v>3701</v>
      </c>
      <c r="G10" t="s">
        <v>149</v>
      </c>
    </row>
    <row r="11" spans="1:7" ht="11.25" customHeight="1">
      <c r="A11" t="s">
        <v>14</v>
      </c>
      <c r="B11" t="s">
        <v>3718</v>
      </c>
      <c r="C11" t="s">
        <v>3719</v>
      </c>
      <c r="D11" t="s">
        <v>3718</v>
      </c>
      <c r="E11" t="s">
        <v>3719</v>
      </c>
      <c r="F11" t="s">
        <v>3701</v>
      </c>
      <c r="G11" t="s">
        <v>150</v>
      </c>
    </row>
    <row r="12" spans="1:7" ht="11.25" customHeight="1">
      <c r="A12" t="s">
        <v>14</v>
      </c>
      <c r="B12" t="s">
        <v>3720</v>
      </c>
      <c r="C12" t="s">
        <v>3721</v>
      </c>
      <c r="D12" t="s">
        <v>3720</v>
      </c>
      <c r="E12" t="s">
        <v>3721</v>
      </c>
      <c r="F12" t="s">
        <v>3701</v>
      </c>
      <c r="G12" t="s">
        <v>151</v>
      </c>
    </row>
    <row r="13" spans="1:7" ht="11.25" customHeight="1">
      <c r="A13" t="s">
        <v>14</v>
      </c>
      <c r="B13" t="s">
        <v>3722</v>
      </c>
      <c r="C13" t="s">
        <v>3723</v>
      </c>
      <c r="D13" t="s">
        <v>3722</v>
      </c>
      <c r="E13" t="s">
        <v>3723</v>
      </c>
      <c r="F13" t="s">
        <v>3701</v>
      </c>
      <c r="G13" t="s">
        <v>152</v>
      </c>
    </row>
    <row r="14" spans="1:7" ht="11.25" customHeight="1">
      <c r="A14" t="s">
        <v>14</v>
      </c>
      <c r="B14" t="s">
        <v>3724</v>
      </c>
      <c r="C14" t="s">
        <v>3725</v>
      </c>
      <c r="D14" t="s">
        <v>3724</v>
      </c>
      <c r="E14" t="s">
        <v>3725</v>
      </c>
      <c r="F14" t="s">
        <v>3726</v>
      </c>
      <c r="G14" t="s">
        <v>153</v>
      </c>
    </row>
    <row r="15" spans="1:7" ht="11.25" customHeight="1">
      <c r="A15" t="s">
        <v>14</v>
      </c>
      <c r="B15" t="s">
        <v>3727</v>
      </c>
      <c r="C15" t="s">
        <v>3728</v>
      </c>
      <c r="D15" t="s">
        <v>3727</v>
      </c>
      <c r="E15" t="s">
        <v>3728</v>
      </c>
      <c r="F15" t="s">
        <v>3701</v>
      </c>
      <c r="G15" t="s">
        <v>154</v>
      </c>
    </row>
    <row r="16" spans="1:7" ht="11.25" customHeight="1">
      <c r="A16" t="s">
        <v>14</v>
      </c>
      <c r="B16" t="s">
        <v>3729</v>
      </c>
      <c r="C16" t="s">
        <v>3730</v>
      </c>
      <c r="D16" t="s">
        <v>3729</v>
      </c>
      <c r="E16" t="s">
        <v>3730</v>
      </c>
      <c r="F16" t="s">
        <v>3701</v>
      </c>
      <c r="G16" t="s">
        <v>696</v>
      </c>
    </row>
    <row r="17" spans="1:7" ht="11.25" customHeight="1">
      <c r="A17" t="s">
        <v>14</v>
      </c>
      <c r="B17" t="s">
        <v>3731</v>
      </c>
      <c r="C17" t="s">
        <v>3732</v>
      </c>
      <c r="D17" t="s">
        <v>3731</v>
      </c>
      <c r="E17" t="s">
        <v>3732</v>
      </c>
      <c r="F17" t="s">
        <v>3701</v>
      </c>
      <c r="G17" t="s">
        <v>398</v>
      </c>
    </row>
    <row r="18" spans="1:7" ht="11.25" customHeight="1">
      <c r="A18" t="s">
        <v>14</v>
      </c>
      <c r="B18" t="s">
        <v>3733</v>
      </c>
      <c r="C18" t="s">
        <v>3734</v>
      </c>
      <c r="D18" t="s">
        <v>3733</v>
      </c>
      <c r="E18" t="s">
        <v>3734</v>
      </c>
      <c r="F18" t="s">
        <v>3701</v>
      </c>
      <c r="G18" t="s">
        <v>705</v>
      </c>
    </row>
    <row r="19" spans="1:7" ht="11.25" customHeight="1">
      <c r="A19" t="s">
        <v>14</v>
      </c>
      <c r="B19" t="s">
        <v>3735</v>
      </c>
      <c r="C19" t="s">
        <v>3736</v>
      </c>
      <c r="D19" t="s">
        <v>3735</v>
      </c>
      <c r="E19" t="s">
        <v>3736</v>
      </c>
      <c r="F19" t="s">
        <v>3701</v>
      </c>
      <c r="G19" t="s">
        <v>709</v>
      </c>
    </row>
    <row r="20" spans="1:7" ht="11.25" customHeight="1">
      <c r="A20" t="s">
        <v>14</v>
      </c>
      <c r="B20" t="s">
        <v>3737</v>
      </c>
      <c r="C20" t="s">
        <v>3738</v>
      </c>
      <c r="D20" t="s">
        <v>3737</v>
      </c>
      <c r="E20" t="s">
        <v>3738</v>
      </c>
      <c r="F20" t="s">
        <v>3726</v>
      </c>
      <c r="G20" t="s">
        <v>460</v>
      </c>
    </row>
    <row r="21" spans="1:7" ht="11.25" customHeight="1">
      <c r="A21" t="s">
        <v>14</v>
      </c>
      <c r="B21" t="s">
        <v>3739</v>
      </c>
      <c r="C21" t="s">
        <v>3740</v>
      </c>
      <c r="D21" t="s">
        <v>3739</v>
      </c>
      <c r="E21" t="s">
        <v>3740</v>
      </c>
      <c r="F21" t="s">
        <v>3701</v>
      </c>
      <c r="G21" t="s">
        <v>1073</v>
      </c>
    </row>
    <row r="22" spans="1:7" ht="11.25" customHeight="1">
      <c r="A22" t="s">
        <v>14</v>
      </c>
      <c r="B22" t="s">
        <v>3741</v>
      </c>
      <c r="C22" t="s">
        <v>3742</v>
      </c>
      <c r="D22" t="s">
        <v>3741</v>
      </c>
      <c r="E22" t="s">
        <v>3742</v>
      </c>
      <c r="F22" t="s">
        <v>3701</v>
      </c>
      <c r="G22" t="s">
        <v>1088</v>
      </c>
    </row>
    <row r="23" spans="1:7" ht="11.25" customHeight="1">
      <c r="A23" t="s">
        <v>14</v>
      </c>
      <c r="B23" t="s">
        <v>3743</v>
      </c>
      <c r="C23" t="s">
        <v>3744</v>
      </c>
      <c r="D23" t="s">
        <v>3743</v>
      </c>
      <c r="E23" t="s">
        <v>3744</v>
      </c>
      <c r="F23" t="s">
        <v>3701</v>
      </c>
      <c r="G23" t="s">
        <v>1094</v>
      </c>
    </row>
    <row r="24" spans="1:7" ht="11.25" customHeight="1">
      <c r="A24" t="s">
        <v>14</v>
      </c>
      <c r="B24" t="s">
        <v>3745</v>
      </c>
      <c r="C24" t="s">
        <v>3746</v>
      </c>
      <c r="D24" t="s">
        <v>3745</v>
      </c>
      <c r="E24" t="s">
        <v>3746</v>
      </c>
      <c r="F24" t="s">
        <v>3701</v>
      </c>
      <c r="G24" t="s">
        <v>1100</v>
      </c>
    </row>
    <row r="25" spans="1:7" ht="11.25" customHeight="1">
      <c r="A25" t="s">
        <v>14</v>
      </c>
      <c r="B25" t="s">
        <v>3747</v>
      </c>
      <c r="C25" t="s">
        <v>3748</v>
      </c>
      <c r="D25" t="s">
        <v>3747</v>
      </c>
      <c r="E25" t="s">
        <v>3748</v>
      </c>
      <c r="F25" t="s">
        <v>3701</v>
      </c>
      <c r="G25" t="s">
        <v>473</v>
      </c>
    </row>
    <row r="26" spans="1:7" ht="11.25" customHeight="1">
      <c r="A26" t="s">
        <v>14</v>
      </c>
      <c r="B26" t="s">
        <v>3749</v>
      </c>
      <c r="C26" t="s">
        <v>3750</v>
      </c>
      <c r="D26" t="s">
        <v>3749</v>
      </c>
      <c r="E26" t="s">
        <v>3750</v>
      </c>
      <c r="F26" t="s">
        <v>3701</v>
      </c>
      <c r="G26" t="s">
        <v>472</v>
      </c>
    </row>
    <row r="27" spans="1:7" ht="11.25" customHeight="1">
      <c r="A27" t="s">
        <v>14</v>
      </c>
      <c r="B27" t="s">
        <v>3751</v>
      </c>
      <c r="C27" t="s">
        <v>3752</v>
      </c>
      <c r="D27" t="s">
        <v>3751</v>
      </c>
      <c r="E27" t="s">
        <v>3752</v>
      </c>
      <c r="F27" t="s">
        <v>3701</v>
      </c>
      <c r="G27" t="s">
        <v>720</v>
      </c>
    </row>
    <row r="28" spans="1:7" ht="11.25" customHeight="1">
      <c r="A28" t="s">
        <v>14</v>
      </c>
      <c r="B28" t="s">
        <v>3753</v>
      </c>
      <c r="C28" t="s">
        <v>3754</v>
      </c>
      <c r="D28" t="s">
        <v>3753</v>
      </c>
      <c r="E28" t="s">
        <v>3754</v>
      </c>
      <c r="F28" t="s">
        <v>3726</v>
      </c>
      <c r="G28" t="s">
        <v>455</v>
      </c>
    </row>
    <row r="29" spans="1:7" ht="11.25" customHeight="1">
      <c r="A29" t="s">
        <v>14</v>
      </c>
      <c r="B29" t="s">
        <v>3755</v>
      </c>
      <c r="C29" t="s">
        <v>3756</v>
      </c>
      <c r="D29" t="s">
        <v>3755</v>
      </c>
      <c r="E29" t="s">
        <v>3756</v>
      </c>
      <c r="F29" t="s">
        <v>3701</v>
      </c>
      <c r="G29" t="s">
        <v>1122</v>
      </c>
    </row>
    <row r="30" spans="1:7" ht="11.25" customHeight="1">
      <c r="A30" t="s">
        <v>14</v>
      </c>
      <c r="B30" t="s">
        <v>3757</v>
      </c>
      <c r="C30" t="s">
        <v>3758</v>
      </c>
      <c r="D30" t="s">
        <v>3757</v>
      </c>
      <c r="E30" t="s">
        <v>3758</v>
      </c>
      <c r="F30" t="s">
        <v>3726</v>
      </c>
      <c r="G30" t="s">
        <v>1125</v>
      </c>
    </row>
    <row r="31" spans="1:7" ht="11.25" customHeight="1">
      <c r="A31" t="s">
        <v>14</v>
      </c>
      <c r="B31" t="s">
        <v>3759</v>
      </c>
      <c r="C31" t="s">
        <v>3760</v>
      </c>
      <c r="D31" t="s">
        <v>3759</v>
      </c>
      <c r="E31" t="s">
        <v>3760</v>
      </c>
      <c r="F31" t="s">
        <v>3701</v>
      </c>
      <c r="G31" t="s">
        <v>1131</v>
      </c>
    </row>
    <row r="32" spans="1:7" ht="11.25" customHeight="1">
      <c r="A32" t="s">
        <v>14</v>
      </c>
      <c r="B32" t="s">
        <v>3761</v>
      </c>
      <c r="C32" t="s">
        <v>3762</v>
      </c>
      <c r="D32" t="s">
        <v>3761</v>
      </c>
      <c r="E32" t="s">
        <v>3762</v>
      </c>
      <c r="F32" t="s">
        <v>3701</v>
      </c>
      <c r="G32" t="s">
        <v>1133</v>
      </c>
    </row>
    <row r="33" spans="1:7" ht="11.25" customHeight="1">
      <c r="A33" t="s">
        <v>14</v>
      </c>
      <c r="B33" t="s">
        <v>3763</v>
      </c>
      <c r="C33" t="s">
        <v>3764</v>
      </c>
      <c r="D33" t="s">
        <v>3763</v>
      </c>
      <c r="E33" t="s">
        <v>3764</v>
      </c>
      <c r="F33" t="s">
        <v>3726</v>
      </c>
      <c r="G33" t="s">
        <v>1135</v>
      </c>
    </row>
    <row r="34" spans="1:7" ht="11.25" customHeight="1">
      <c r="A34" t="s">
        <v>14</v>
      </c>
      <c r="B34" t="s">
        <v>3765</v>
      </c>
      <c r="C34" t="s">
        <v>3766</v>
      </c>
      <c r="D34" t="s">
        <v>3765</v>
      </c>
      <c r="E34" t="s">
        <v>3766</v>
      </c>
      <c r="F34" t="s">
        <v>3701</v>
      </c>
      <c r="G34" t="s">
        <v>1137</v>
      </c>
    </row>
    <row r="35" spans="1:7" ht="11.25" customHeight="1">
      <c r="A35" t="s">
        <v>14</v>
      </c>
      <c r="B35" t="s">
        <v>3767</v>
      </c>
      <c r="C35" t="s">
        <v>3768</v>
      </c>
      <c r="D35" t="s">
        <v>3767</v>
      </c>
      <c r="E35" t="s">
        <v>3768</v>
      </c>
      <c r="F35" t="s">
        <v>3701</v>
      </c>
      <c r="G35" t="s">
        <v>1142</v>
      </c>
    </row>
    <row r="36" spans="1:7" ht="11.25" customHeight="1">
      <c r="A36" t="s">
        <v>14</v>
      </c>
      <c r="B36" t="s">
        <v>3769</v>
      </c>
      <c r="C36" t="s">
        <v>3770</v>
      </c>
      <c r="D36" t="s">
        <v>3769</v>
      </c>
      <c r="E36" t="s">
        <v>3770</v>
      </c>
      <c r="F36" t="s">
        <v>3726</v>
      </c>
      <c r="G36" t="s">
        <v>1147</v>
      </c>
    </row>
    <row r="37" spans="1:7" ht="11.25" customHeight="1">
      <c r="A37" t="s">
        <v>14</v>
      </c>
      <c r="B37" t="s">
        <v>3771</v>
      </c>
      <c r="C37" t="s">
        <v>3772</v>
      </c>
      <c r="D37" t="s">
        <v>3771</v>
      </c>
      <c r="E37" t="s">
        <v>3772</v>
      </c>
      <c r="F37" t="s">
        <v>3701</v>
      </c>
      <c r="G37" t="s">
        <v>1150</v>
      </c>
    </row>
    <row r="38" spans="1:7" ht="11.25" customHeight="1">
      <c r="A38" t="s">
        <v>14</v>
      </c>
      <c r="B38" t="s">
        <v>3773</v>
      </c>
      <c r="C38" t="s">
        <v>3774</v>
      </c>
      <c r="D38" t="s">
        <v>3773</v>
      </c>
      <c r="E38" t="s">
        <v>3774</v>
      </c>
      <c r="F38" t="s">
        <v>3701</v>
      </c>
      <c r="G38" t="s">
        <v>1158</v>
      </c>
    </row>
    <row r="39" spans="1:7" ht="11.25" customHeight="1">
      <c r="A39" t="s">
        <v>14</v>
      </c>
      <c r="B39" t="s">
        <v>3775</v>
      </c>
      <c r="C39" t="s">
        <v>3776</v>
      </c>
      <c r="D39" t="s">
        <v>3775</v>
      </c>
      <c r="E39" t="s">
        <v>3776</v>
      </c>
      <c r="F39" t="s">
        <v>3701</v>
      </c>
      <c r="G39" t="s">
        <v>1164</v>
      </c>
    </row>
    <row r="40" spans="1:7" ht="11.25" customHeight="1">
      <c r="A40" t="s">
        <v>14</v>
      </c>
      <c r="B40" t="s">
        <v>3777</v>
      </c>
      <c r="C40" t="s">
        <v>3778</v>
      </c>
      <c r="D40" t="s">
        <v>3777</v>
      </c>
      <c r="E40" t="s">
        <v>3778</v>
      </c>
      <c r="F40" t="s">
        <v>3701</v>
      </c>
      <c r="G40" t="s">
        <v>1170</v>
      </c>
    </row>
    <row r="41" spans="1:7" ht="11.25" customHeight="1">
      <c r="A41" t="s">
        <v>14</v>
      </c>
      <c r="B41" t="s">
        <v>3779</v>
      </c>
      <c r="C41" t="s">
        <v>3780</v>
      </c>
      <c r="D41" t="s">
        <v>3779</v>
      </c>
      <c r="E41" t="s">
        <v>3780</v>
      </c>
      <c r="F41" t="s">
        <v>3701</v>
      </c>
      <c r="G41" t="s">
        <v>1176</v>
      </c>
    </row>
    <row r="42" spans="1:7" ht="11.25" customHeight="1">
      <c r="A42" t="s">
        <v>14</v>
      </c>
      <c r="B42" t="s">
        <v>3781</v>
      </c>
      <c r="C42" t="s">
        <v>3782</v>
      </c>
      <c r="D42" t="s">
        <v>3781</v>
      </c>
      <c r="E42" t="s">
        <v>3782</v>
      </c>
      <c r="F42" t="s">
        <v>3701</v>
      </c>
      <c r="G42" t="s">
        <v>1181</v>
      </c>
    </row>
    <row r="43" spans="1:7" ht="11.25" customHeight="1">
      <c r="A43" t="s">
        <v>14</v>
      </c>
      <c r="B43" t="s">
        <v>3783</v>
      </c>
      <c r="C43" t="s">
        <v>3784</v>
      </c>
      <c r="D43" t="s">
        <v>3783</v>
      </c>
      <c r="E43" t="s">
        <v>3784</v>
      </c>
      <c r="F43" t="s">
        <v>3701</v>
      </c>
      <c r="G43" t="s">
        <v>1188</v>
      </c>
    </row>
    <row r="44" spans="1:7" ht="11.25" customHeight="1">
      <c r="A44" t="s">
        <v>14</v>
      </c>
      <c r="B44" t="s">
        <v>3785</v>
      </c>
      <c r="C44" t="s">
        <v>3786</v>
      </c>
      <c r="D44" t="s">
        <v>3785</v>
      </c>
      <c r="E44" t="s">
        <v>3786</v>
      </c>
      <c r="F44" t="s">
        <v>3726</v>
      </c>
      <c r="G44" t="s">
        <v>1197</v>
      </c>
    </row>
    <row r="45" spans="1:7" ht="11.25" customHeight="1">
      <c r="A45" t="s">
        <v>14</v>
      </c>
      <c r="B45" t="s">
        <v>3787</v>
      </c>
      <c r="C45" t="s">
        <v>3788</v>
      </c>
      <c r="D45" t="s">
        <v>3787</v>
      </c>
      <c r="E45" t="s">
        <v>3788</v>
      </c>
      <c r="F45" t="s">
        <v>3726</v>
      </c>
      <c r="G45" t="s">
        <v>1203</v>
      </c>
    </row>
    <row r="46" spans="1:7" ht="11.25" customHeight="1">
      <c r="A46" t="s">
        <v>14</v>
      </c>
      <c r="B46" t="s">
        <v>3789</v>
      </c>
      <c r="C46" t="s">
        <v>3790</v>
      </c>
      <c r="D46" t="s">
        <v>3789</v>
      </c>
      <c r="E46" t="s">
        <v>3790</v>
      </c>
      <c r="F46" t="s">
        <v>3726</v>
      </c>
      <c r="G46" t="s">
        <v>474</v>
      </c>
    </row>
    <row r="47" spans="1:7" ht="11.25" customHeight="1">
      <c r="A47" t="s">
        <v>14</v>
      </c>
      <c r="B47" t="s">
        <v>3791</v>
      </c>
      <c r="C47" t="s">
        <v>3792</v>
      </c>
      <c r="D47" t="s">
        <v>3791</v>
      </c>
      <c r="E47" t="s">
        <v>3792</v>
      </c>
      <c r="F47" t="s">
        <v>3726</v>
      </c>
      <c r="G47" t="s">
        <v>1212</v>
      </c>
    </row>
    <row r="48" spans="1:7" ht="11.25" customHeight="1">
      <c r="A48" t="s">
        <v>14</v>
      </c>
      <c r="B48" t="s">
        <v>3793</v>
      </c>
      <c r="C48" t="s">
        <v>3794</v>
      </c>
      <c r="D48" t="s">
        <v>3793</v>
      </c>
      <c r="E48" t="s">
        <v>3794</v>
      </c>
      <c r="F48" t="s">
        <v>3726</v>
      </c>
      <c r="G48" t="s">
        <v>721</v>
      </c>
    </row>
    <row r="49" spans="1:7" ht="11.25" customHeight="1">
      <c r="A49" t="s">
        <v>14</v>
      </c>
      <c r="B49" t="s">
        <v>100</v>
      </c>
      <c r="C49" t="s">
        <v>101</v>
      </c>
      <c r="D49" t="s">
        <v>100</v>
      </c>
      <c r="E49" t="s">
        <v>101</v>
      </c>
      <c r="F49" t="s">
        <v>3726</v>
      </c>
      <c r="G49" t="s">
        <v>99</v>
      </c>
    </row>
    <row r="50" spans="1:7" ht="11.25" customHeight="1">
      <c r="A50" t="s">
        <v>14</v>
      </c>
      <c r="B50" t="s">
        <v>3795</v>
      </c>
      <c r="C50" t="s">
        <v>3796</v>
      </c>
      <c r="D50" t="s">
        <v>3795</v>
      </c>
      <c r="E50" t="s">
        <v>3796</v>
      </c>
      <c r="F50" t="s">
        <v>3726</v>
      </c>
      <c r="G50" t="s">
        <v>1224</v>
      </c>
    </row>
    <row r="51" spans="1:7" ht="11.25" customHeight="1">
      <c r="A51" t="s">
        <v>14</v>
      </c>
      <c r="B51" t="s">
        <v>3797</v>
      </c>
      <c r="C51" t="s">
        <v>3798</v>
      </c>
      <c r="D51" t="s">
        <v>3797</v>
      </c>
      <c r="E51" t="s">
        <v>3798</v>
      </c>
      <c r="F51" t="s">
        <v>3726</v>
      </c>
      <c r="G51" t="s">
        <v>1228</v>
      </c>
    </row>
    <row r="52" spans="1:7" ht="11.25" customHeight="1">
      <c r="A52" t="s">
        <v>14</v>
      </c>
      <c r="B52" t="s">
        <v>3799</v>
      </c>
      <c r="C52" t="s">
        <v>3800</v>
      </c>
      <c r="D52" t="s">
        <v>3799</v>
      </c>
      <c r="E52" t="s">
        <v>3800</v>
      </c>
      <c r="F52" t="s">
        <v>3726</v>
      </c>
      <c r="G52" t="s">
        <v>1232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887"/>
    <col min="2" max="2" width="84.28515625" style="1887" customWidth="1"/>
    <col min="3" max="3" width="9.140625" style="1887"/>
  </cols>
  <sheetData>
    <row r="1" spans="1:3" ht="11.25" customHeight="1">
      <c r="A1" s="741" t="s">
        <v>3960</v>
      </c>
      <c r="B1" s="741" t="s">
        <v>3961</v>
      </c>
      <c r="C1" s="741" t="s">
        <v>728</v>
      </c>
    </row>
    <row r="2" spans="1:3" ht="11.25" customHeight="1">
      <c r="A2" s="741">
        <v>4189678</v>
      </c>
      <c r="B2" s="741" t="s">
        <v>3962</v>
      </c>
      <c r="C2" s="741" t="s">
        <v>3963</v>
      </c>
    </row>
    <row r="3" spans="1:3" ht="11.25" customHeight="1">
      <c r="A3" s="741">
        <v>4190415</v>
      </c>
      <c r="B3" s="741" t="s">
        <v>3964</v>
      </c>
      <c r="C3" s="741" t="s">
        <v>3963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1750" customWidth="1"/>
    <col min="2" max="5" width="9.140625" style="1750"/>
  </cols>
  <sheetData>
    <row r="1" spans="1:5" ht="15" customHeight="1">
      <c r="A1" s="91" t="s">
        <v>3965</v>
      </c>
      <c r="B1" s="91" t="s">
        <v>3966</v>
      </c>
      <c r="C1" s="91"/>
      <c r="D1" s="91"/>
      <c r="E1" s="91"/>
    </row>
    <row r="2" spans="1:5" ht="15" customHeight="1">
      <c r="A2" s="91"/>
      <c r="B2" s="91"/>
      <c r="C2" s="91"/>
      <c r="D2" s="91"/>
      <c r="E2" s="91"/>
    </row>
    <row r="3" spans="1:5" ht="15" customHeight="1">
      <c r="A3" s="91"/>
      <c r="B3" s="91"/>
      <c r="C3" s="91"/>
      <c r="D3" s="91"/>
      <c r="E3" s="91"/>
    </row>
    <row r="4" spans="1:5" ht="15" customHeight="1">
      <c r="A4" s="91"/>
      <c r="B4" s="91"/>
      <c r="C4" s="91"/>
      <c r="D4" s="91"/>
      <c r="E4" s="91"/>
    </row>
    <row r="5" spans="1:5" ht="15" customHeight="1">
      <c r="A5" s="91"/>
      <c r="B5" s="91"/>
      <c r="C5" s="91"/>
      <c r="D5" s="91"/>
      <c r="E5" s="91"/>
    </row>
    <row r="6" spans="1:5" ht="15" customHeight="1">
      <c r="A6" s="91"/>
      <c r="B6" s="91"/>
      <c r="C6" s="91"/>
      <c r="D6" s="91"/>
      <c r="E6" s="91"/>
    </row>
    <row r="7" spans="1:5" ht="15" customHeight="1">
      <c r="A7" s="91"/>
      <c r="B7" s="91"/>
      <c r="C7" s="91"/>
      <c r="D7" s="91"/>
      <c r="E7" s="91"/>
    </row>
    <row r="8" spans="1:5" ht="15" customHeight="1">
      <c r="A8" s="91"/>
      <c r="B8" s="91"/>
      <c r="C8" s="91"/>
      <c r="D8" s="91"/>
      <c r="E8" s="91"/>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3967</v>
      </c>
      <c r="B1" t="b">
        <v>1</v>
      </c>
    </row>
    <row r="2" spans="1:2" ht="11.25" customHeight="1">
      <c r="A2" t="s">
        <v>3968</v>
      </c>
      <c r="B2" t="b">
        <v>0</v>
      </c>
    </row>
    <row r="3" spans="1:2" ht="11.25" customHeight="1">
      <c r="A3" t="s">
        <v>3969</v>
      </c>
      <c r="B3" t="b">
        <v>1</v>
      </c>
    </row>
    <row r="4" spans="1:2" ht="11.25" customHeight="1">
      <c r="A4" t="s">
        <v>3970</v>
      </c>
      <c r="B4" t="b">
        <v>0</v>
      </c>
    </row>
    <row r="5" spans="1:2" ht="11.25" customHeight="1">
      <c r="A5" t="s">
        <v>3971</v>
      </c>
      <c r="B5" t="b">
        <v>0</v>
      </c>
    </row>
    <row r="6" spans="1:2" ht="11.25" customHeight="1">
      <c r="A6" t="s">
        <v>3972</v>
      </c>
      <c r="B6" t="b">
        <v>0</v>
      </c>
    </row>
    <row r="7" spans="1:2" ht="11.25" customHeight="1">
      <c r="A7" t="s">
        <v>3973</v>
      </c>
      <c r="B7" t="b">
        <v>0</v>
      </c>
    </row>
    <row r="8" spans="1:2" ht="11.25" customHeight="1">
      <c r="A8" t="s">
        <v>3974</v>
      </c>
      <c r="B8" t="b">
        <v>0</v>
      </c>
    </row>
    <row r="9" spans="1:2" ht="11.25" customHeight="1">
      <c r="A9" t="s">
        <v>3975</v>
      </c>
      <c r="B9" t="b">
        <v>0</v>
      </c>
    </row>
    <row r="10" spans="1:2" ht="11.25" customHeight="1">
      <c r="A10" t="s">
        <v>3976</v>
      </c>
      <c r="B10" t="b">
        <v>1</v>
      </c>
    </row>
    <row r="11" spans="1:2" ht="11.25" customHeight="1">
      <c r="A11" t="s">
        <v>3977</v>
      </c>
      <c r="B11" t="b">
        <v>0</v>
      </c>
    </row>
    <row r="12" spans="1:2" ht="11.25" customHeight="1">
      <c r="A12" t="s">
        <v>3978</v>
      </c>
      <c r="B12" t="b">
        <v>0</v>
      </c>
    </row>
    <row r="13" spans="1:2" ht="11.25" customHeight="1">
      <c r="A13" t="s">
        <v>3979</v>
      </c>
      <c r="B13" t="b">
        <v>0</v>
      </c>
    </row>
    <row r="14" spans="1:2" ht="11.25" customHeight="1">
      <c r="A14" t="s">
        <v>3980</v>
      </c>
      <c r="B14" t="b">
        <v>0</v>
      </c>
    </row>
    <row r="15" spans="1:2" ht="11.25" customHeight="1">
      <c r="A15" t="s">
        <v>3981</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1751"/>
  </cols>
  <sheetData>
    <row r="1" spans="1:1" ht="12.75" customHeight="1">
      <c r="A1" s="33"/>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753" customWidth="1"/>
    <col min="2" max="2" width="21.140625" style="1753" customWidth="1"/>
  </cols>
  <sheetData>
    <row r="1" spans="1:2" ht="11.25" customHeight="1">
      <c r="A1" s="8" t="s">
        <v>3982</v>
      </c>
      <c r="B1" s="8" t="s">
        <v>3983</v>
      </c>
    </row>
    <row r="2" spans="1:2" ht="11.25" customHeight="1">
      <c r="A2" s="5" t="s">
        <v>3984</v>
      </c>
      <c r="B2" s="5" t="s">
        <v>3985</v>
      </c>
    </row>
    <row r="3" spans="1:2" ht="11.25" customHeight="1">
      <c r="A3" s="5" t="s">
        <v>3986</v>
      </c>
      <c r="B3" s="5" t="s">
        <v>3987</v>
      </c>
    </row>
    <row r="4" spans="1:2" ht="11.25" customHeight="1">
      <c r="A4" s="5" t="s">
        <v>3988</v>
      </c>
      <c r="B4" s="5" t="s">
        <v>3989</v>
      </c>
    </row>
    <row r="5" spans="1:2" ht="11.25" customHeight="1">
      <c r="A5" s="5" t="s">
        <v>3990</v>
      </c>
      <c r="B5" s="5" t="s">
        <v>3991</v>
      </c>
    </row>
    <row r="6" spans="1:2" ht="11.25" customHeight="1">
      <c r="A6" s="5" t="s">
        <v>3992</v>
      </c>
      <c r="B6" s="5" t="s">
        <v>3993</v>
      </c>
    </row>
    <row r="7" spans="1:2" ht="11.25" customHeight="1">
      <c r="A7" s="5" t="s">
        <v>3994</v>
      </c>
      <c r="B7" s="5" t="s">
        <v>3995</v>
      </c>
    </row>
    <row r="8" spans="1:2" ht="11.25" customHeight="1">
      <c r="A8" s="5" t="s">
        <v>3996</v>
      </c>
      <c r="B8" s="5" t="s">
        <v>3997</v>
      </c>
    </row>
    <row r="9" spans="1:2" ht="11.25" customHeight="1">
      <c r="A9" s="5" t="s">
        <v>3998</v>
      </c>
      <c r="B9" s="5" t="s">
        <v>3999</v>
      </c>
    </row>
    <row r="10" spans="1:2" ht="11.25" customHeight="1">
      <c r="A10" s="5" t="s">
        <v>4000</v>
      </c>
      <c r="B10" s="5" t="s">
        <v>4001</v>
      </c>
    </row>
    <row r="11" spans="1:2" ht="11.25" customHeight="1">
      <c r="A11" s="5" t="s">
        <v>4002</v>
      </c>
      <c r="B11" s="5" t="s">
        <v>4003</v>
      </c>
    </row>
    <row r="12" spans="1:2" ht="11.25" customHeight="1">
      <c r="A12" s="5" t="s">
        <v>4004</v>
      </c>
      <c r="B12" s="5" t="s">
        <v>4005</v>
      </c>
    </row>
    <row r="13" spans="1:2" ht="11.25" customHeight="1">
      <c r="A13" s="5" t="s">
        <v>4006</v>
      </c>
      <c r="B13" s="5" t="s">
        <v>4007</v>
      </c>
    </row>
    <row r="14" spans="1:2" ht="11.25" customHeight="1">
      <c r="A14" s="5" t="s">
        <v>4008</v>
      </c>
      <c r="B14" s="5" t="s">
        <v>4009</v>
      </c>
    </row>
    <row r="15" spans="1:2" ht="11.25" customHeight="1">
      <c r="A15" s="5" t="s">
        <v>4010</v>
      </c>
      <c r="B15" s="5" t="s">
        <v>4011</v>
      </c>
    </row>
    <row r="16" spans="1:2" ht="11.25" customHeight="1">
      <c r="A16" s="5" t="s">
        <v>4012</v>
      </c>
      <c r="B16" s="5" t="s">
        <v>4013</v>
      </c>
    </row>
    <row r="17" spans="1:2" ht="11.25" customHeight="1">
      <c r="A17" s="5" t="s">
        <v>4014</v>
      </c>
      <c r="B17" s="5" t="s">
        <v>4015</v>
      </c>
    </row>
    <row r="18" spans="1:2" ht="11.25" customHeight="1">
      <c r="A18" s="5" t="s">
        <v>4016</v>
      </c>
      <c r="B18" s="5" t="s">
        <v>4017</v>
      </c>
    </row>
    <row r="19" spans="1:2" ht="11.25" customHeight="1">
      <c r="A19" s="5" t="s">
        <v>4018</v>
      </c>
      <c r="B19" s="5" t="s">
        <v>4019</v>
      </c>
    </row>
    <row r="20" spans="1:2" ht="11.25" customHeight="1">
      <c r="A20" s="5" t="s">
        <v>4020</v>
      </c>
      <c r="B20" s="5" t="s">
        <v>4021</v>
      </c>
    </row>
    <row r="21" spans="1:2" ht="11.25" customHeight="1">
      <c r="A21" s="5" t="s">
        <v>4022</v>
      </c>
      <c r="B21" s="5" t="s">
        <v>4023</v>
      </c>
    </row>
    <row r="22" spans="1:2" ht="11.25" customHeight="1">
      <c r="A22" s="5" t="s">
        <v>4024</v>
      </c>
      <c r="B22" s="5" t="s">
        <v>4025</v>
      </c>
    </row>
    <row r="23" spans="1:2" ht="11.25" customHeight="1">
      <c r="A23" s="5" t="s">
        <v>4026</v>
      </c>
      <c r="B23" s="5" t="s">
        <v>4027</v>
      </c>
    </row>
    <row r="24" spans="1:2" ht="11.25" customHeight="1">
      <c r="A24" s="5" t="s">
        <v>4028</v>
      </c>
      <c r="B24" s="5" t="s">
        <v>4029</v>
      </c>
    </row>
    <row r="25" spans="1:2" ht="11.25" customHeight="1">
      <c r="A25" s="5" t="s">
        <v>4030</v>
      </c>
      <c r="B25" s="5" t="s">
        <v>4031</v>
      </c>
    </row>
    <row r="26" spans="1:2" ht="11.25" customHeight="1">
      <c r="A26" s="5" t="s">
        <v>4032</v>
      </c>
      <c r="B26" s="5" t="s">
        <v>4033</v>
      </c>
    </row>
    <row r="27" spans="1:2" ht="11.25" customHeight="1">
      <c r="A27" s="5" t="s">
        <v>4034</v>
      </c>
      <c r="B27" s="5" t="s">
        <v>4035</v>
      </c>
    </row>
    <row r="28" spans="1:2" ht="11.25" customHeight="1">
      <c r="A28" s="5" t="s">
        <v>4036</v>
      </c>
      <c r="B28" s="5" t="s">
        <v>4037</v>
      </c>
    </row>
    <row r="29" spans="1:2" ht="11.25" customHeight="1">
      <c r="A29" s="5" t="s">
        <v>4038</v>
      </c>
      <c r="B29" s="5" t="s">
        <v>4039</v>
      </c>
    </row>
    <row r="30" spans="1:2" ht="11.25" customHeight="1">
      <c r="A30" s="5" t="s">
        <v>4040</v>
      </c>
      <c r="B30" s="5" t="s">
        <v>4041</v>
      </c>
    </row>
    <row r="31" spans="1:2" ht="11.25" customHeight="1">
      <c r="A31" s="5" t="s">
        <v>4042</v>
      </c>
      <c r="B31" s="5" t="s">
        <v>4043</v>
      </c>
    </row>
    <row r="32" spans="1:2" ht="11.25" customHeight="1">
      <c r="A32" s="5" t="s">
        <v>4044</v>
      </c>
      <c r="B32" s="5" t="s">
        <v>4045</v>
      </c>
    </row>
    <row r="33" spans="1:2" ht="11.25" customHeight="1">
      <c r="A33" s="5" t="s">
        <v>4046</v>
      </c>
      <c r="B33" s="5" t="s">
        <v>4047</v>
      </c>
    </row>
    <row r="34" spans="1:2" ht="11.25" customHeight="1">
      <c r="A34" s="5" t="s">
        <v>4048</v>
      </c>
      <c r="B34" s="5" t="s">
        <v>4049</v>
      </c>
    </row>
    <row r="35" spans="1:2" ht="11.25" customHeight="1">
      <c r="A35" s="5" t="s">
        <v>4050</v>
      </c>
      <c r="B35" s="5" t="s">
        <v>4051</v>
      </c>
    </row>
    <row r="36" spans="1:2" ht="11.25" customHeight="1">
      <c r="A36" s="5" t="s">
        <v>4052</v>
      </c>
      <c r="B36" s="5" t="s">
        <v>4053</v>
      </c>
    </row>
    <row r="37" spans="1:2" ht="11.25" customHeight="1">
      <c r="A37" s="5" t="s">
        <v>4054</v>
      </c>
      <c r="B37" s="5" t="s">
        <v>4055</v>
      </c>
    </row>
    <row r="38" spans="1:2" ht="11.25" customHeight="1">
      <c r="A38" s="5" t="s">
        <v>4056</v>
      </c>
      <c r="B38" s="5" t="s">
        <v>4057</v>
      </c>
    </row>
    <row r="39" spans="1:2" ht="11.25" customHeight="1">
      <c r="A39" s="5" t="s">
        <v>4058</v>
      </c>
      <c r="B39" s="5" t="s">
        <v>4059</v>
      </c>
    </row>
    <row r="40" spans="1:2" ht="11.25" customHeight="1">
      <c r="A40" s="5" t="s">
        <v>4060</v>
      </c>
      <c r="B40" s="5" t="s">
        <v>4061</v>
      </c>
    </row>
    <row r="41" spans="1:2" ht="11.25" customHeight="1">
      <c r="A41" s="5" t="s">
        <v>4062</v>
      </c>
      <c r="B41" s="5" t="s">
        <v>4063</v>
      </c>
    </row>
    <row r="42" spans="1:2" ht="11.25" customHeight="1">
      <c r="A42" s="5" t="s">
        <v>4064</v>
      </c>
      <c r="B42" s="5" t="s">
        <v>4065</v>
      </c>
    </row>
    <row r="43" spans="1:2" ht="11.25" customHeight="1">
      <c r="A43" s="5" t="s">
        <v>4066</v>
      </c>
      <c r="B43" s="5" t="s">
        <v>4067</v>
      </c>
    </row>
    <row r="44" spans="1:2" ht="11.25" customHeight="1">
      <c r="A44" s="5" t="s">
        <v>4068</v>
      </c>
      <c r="B44" s="5" t="s">
        <v>4069</v>
      </c>
    </row>
    <row r="45" spans="1:2" ht="11.25" customHeight="1">
      <c r="A45" s="5" t="s">
        <v>4070</v>
      </c>
      <c r="B45" s="5" t="s">
        <v>4071</v>
      </c>
    </row>
    <row r="46" spans="1:2" ht="11.25" customHeight="1">
      <c r="A46" s="5" t="s">
        <v>4072</v>
      </c>
      <c r="B46" s="5" t="s">
        <v>4073</v>
      </c>
    </row>
    <row r="47" spans="1:2" ht="11.25" customHeight="1">
      <c r="A47" s="5" t="s">
        <v>4074</v>
      </c>
      <c r="B47" s="5" t="s">
        <v>4075</v>
      </c>
    </row>
    <row r="48" spans="1:2" ht="11.25" customHeight="1">
      <c r="A48" s="5" t="s">
        <v>4076</v>
      </c>
      <c r="B48" s="5" t="s">
        <v>4077</v>
      </c>
    </row>
    <row r="49" spans="1:2" ht="11.25" customHeight="1">
      <c r="A49" s="5" t="s">
        <v>4078</v>
      </c>
      <c r="B49" s="5" t="s">
        <v>4079</v>
      </c>
    </row>
    <row r="50" spans="1:2" ht="11.25" customHeight="1">
      <c r="A50" s="5" t="s">
        <v>4080</v>
      </c>
      <c r="B50" s="5" t="s">
        <v>4081</v>
      </c>
    </row>
    <row r="51" spans="1:2" ht="11.25" customHeight="1">
      <c r="A51" s="5" t="s">
        <v>4082</v>
      </c>
      <c r="B51" s="5" t="s">
        <v>4083</v>
      </c>
    </row>
    <row r="52" spans="1:2" ht="11.25" customHeight="1">
      <c r="A52" s="5" t="s">
        <v>4084</v>
      </c>
      <c r="B52" s="5" t="s">
        <v>4085</v>
      </c>
    </row>
    <row r="53" spans="1:2" ht="11.25" customHeight="1">
      <c r="A53" s="5" t="s">
        <v>4086</v>
      </c>
      <c r="B53" s="5" t="s">
        <v>4087</v>
      </c>
    </row>
    <row r="54" spans="1:2" ht="11.25" customHeight="1">
      <c r="A54" s="5" t="s">
        <v>4088</v>
      </c>
      <c r="B54" s="5" t="s">
        <v>4089</v>
      </c>
    </row>
    <row r="55" spans="1:2" ht="11.25" customHeight="1">
      <c r="A55" s="5" t="s">
        <v>4090</v>
      </c>
      <c r="B55" s="5" t="s">
        <v>4091</v>
      </c>
    </row>
    <row r="56" spans="1:2" ht="11.25" customHeight="1">
      <c r="A56" s="5" t="s">
        <v>4092</v>
      </c>
      <c r="B56" s="5" t="s">
        <v>4093</v>
      </c>
    </row>
    <row r="57" spans="1:2" ht="11.25" customHeight="1">
      <c r="A57" s="5" t="s">
        <v>4094</v>
      </c>
      <c r="B57" s="5" t="s">
        <v>4095</v>
      </c>
    </row>
    <row r="58" spans="1:2" ht="11.25" customHeight="1">
      <c r="A58" s="5" t="s">
        <v>4096</v>
      </c>
      <c r="B58" s="5" t="s">
        <v>4097</v>
      </c>
    </row>
    <row r="59" spans="1:2" ht="11.25" customHeight="1">
      <c r="A59" s="5" t="s">
        <v>4098</v>
      </c>
      <c r="B59" s="5" t="s">
        <v>4099</v>
      </c>
    </row>
    <row r="60" spans="1:2" ht="11.25" customHeight="1">
      <c r="A60" s="5" t="s">
        <v>4100</v>
      </c>
      <c r="B60" s="5" t="s">
        <v>4101</v>
      </c>
    </row>
    <row r="61" spans="1:2" ht="11.25" customHeight="1">
      <c r="A61" s="5"/>
      <c r="B61" s="5" t="s">
        <v>4102</v>
      </c>
    </row>
    <row r="62" spans="1:2" ht="11.25" customHeight="1">
      <c r="A62" s="5"/>
      <c r="B62" s="5" t="s">
        <v>4103</v>
      </c>
    </row>
    <row r="63" spans="1:2" ht="11.25" customHeight="1">
      <c r="A63" s="5"/>
      <c r="B63" s="5" t="s">
        <v>4104</v>
      </c>
    </row>
    <row r="64" spans="1:2" ht="11.25" customHeight="1">
      <c r="A64" s="5"/>
      <c r="B64" s="5" t="s">
        <v>4105</v>
      </c>
    </row>
    <row r="65" spans="1:2" ht="11.25" customHeight="1">
      <c r="A65" s="5"/>
      <c r="B65" s="5" t="s">
        <v>4106</v>
      </c>
    </row>
    <row r="66" spans="1:2" ht="11.25" customHeight="1">
      <c r="A66" s="5"/>
      <c r="B66" s="5" t="s">
        <v>4107</v>
      </c>
    </row>
    <row r="67" spans="1:2" ht="11.25" customHeight="1">
      <c r="A67" s="5"/>
      <c r="B67" s="5" t="s">
        <v>4108</v>
      </c>
    </row>
    <row r="68" spans="1:2" ht="11.25" customHeight="1">
      <c r="A68" s="5"/>
      <c r="B68" s="5" t="s">
        <v>4109</v>
      </c>
    </row>
    <row r="69" spans="1:2" ht="11.25" customHeight="1">
      <c r="A69" s="5"/>
      <c r="B69" s="5" t="s">
        <v>4110</v>
      </c>
    </row>
    <row r="70" spans="1:2" ht="11.25" customHeight="1">
      <c r="A70" s="5"/>
      <c r="B70" s="5" t="s">
        <v>4111</v>
      </c>
    </row>
    <row r="71" spans="1:2" ht="11.25" customHeight="1">
      <c r="A71" s="5"/>
      <c r="B71" s="5"/>
    </row>
    <row r="72" spans="1:2" ht="11.25" customHeight="1">
      <c r="A72" s="5"/>
      <c r="B72" s="5"/>
    </row>
    <row r="73" spans="1:2" ht="11.25" customHeight="1">
      <c r="A73" s="5"/>
      <c r="B73" s="5"/>
    </row>
    <row r="74" spans="1:2" ht="11.25" customHeight="1">
      <c r="A74" s="5"/>
      <c r="B74" s="5"/>
    </row>
    <row r="75" spans="1:2" ht="11.25" customHeight="1">
      <c r="A75" s="5"/>
      <c r="B75" s="5"/>
    </row>
    <row r="76" spans="1:2" ht="11.25" customHeight="1">
      <c r="A76" s="5"/>
      <c r="B76" s="5"/>
    </row>
    <row r="77" spans="1:2" ht="11.25" customHeight="1">
      <c r="A77" s="5"/>
      <c r="B77" s="5"/>
    </row>
    <row r="78" spans="1:2" ht="11.25" customHeight="1">
      <c r="A78" s="5"/>
      <c r="B78" s="5"/>
    </row>
    <row r="79" spans="1:2" ht="11.25" customHeight="1">
      <c r="A79" s="5"/>
      <c r="B79" s="5"/>
    </row>
    <row r="80" spans="1:2" ht="11.25" customHeight="1">
      <c r="A80" s="5"/>
      <c r="B80" s="5"/>
    </row>
    <row r="81" spans="1:2" ht="11.25" customHeight="1">
      <c r="A81" s="5"/>
      <c r="B81" s="5"/>
    </row>
    <row r="82" spans="1:2" ht="11.25" customHeight="1">
      <c r="A82" s="5"/>
      <c r="B82" s="5"/>
    </row>
    <row r="83" spans="1:2" ht="11.25" customHeight="1">
      <c r="A83" s="5"/>
      <c r="B83" s="5"/>
    </row>
    <row r="84" spans="1:2" ht="11.25" customHeight="1">
      <c r="A84" s="5"/>
      <c r="B84" s="5"/>
    </row>
    <row r="85" spans="1:2" ht="11.25" customHeight="1">
      <c r="A85" s="5"/>
      <c r="B85" s="5"/>
    </row>
    <row r="86" spans="1:2" ht="11.25" customHeight="1">
      <c r="A86" s="5"/>
      <c r="B86" s="5"/>
    </row>
    <row r="87" spans="1:2" ht="11.25" customHeight="1">
      <c r="A87" s="5"/>
      <c r="B87" s="5"/>
    </row>
    <row r="88" spans="1:2" ht="11.25" customHeight="1">
      <c r="A88" s="5"/>
      <c r="B88" s="5"/>
    </row>
    <row r="89" spans="1:2" ht="11.25" customHeight="1">
      <c r="A89" s="5"/>
      <c r="B89" s="5"/>
    </row>
    <row r="90" spans="1:2" ht="11.25" customHeight="1">
      <c r="A90" s="5"/>
      <c r="B90" s="5"/>
    </row>
    <row r="91" spans="1:2" ht="11.25" customHeight="1">
      <c r="A91" s="5"/>
      <c r="B91" s="5"/>
    </row>
    <row r="92" spans="1:2" ht="11.25" customHeight="1">
      <c r="A92" s="5"/>
      <c r="B92" s="5"/>
    </row>
    <row r="93" spans="1:2" ht="11.25" customHeight="1">
      <c r="A93" s="5"/>
      <c r="B93" s="5"/>
    </row>
    <row r="94" spans="1:2" ht="11.25" customHeight="1">
      <c r="A94" s="5"/>
      <c r="B94" s="5"/>
    </row>
    <row r="95" spans="1:2" ht="11.25" customHeight="1">
      <c r="A95" s="5"/>
      <c r="B95" s="5"/>
    </row>
    <row r="96" spans="1:2" ht="11.25" customHeight="1">
      <c r="A96" s="5"/>
      <c r="B96" s="5"/>
    </row>
    <row r="97" spans="1:2" ht="11.25" customHeight="1">
      <c r="A97" s="5"/>
      <c r="B97" s="5"/>
    </row>
    <row r="98" spans="1:2" ht="11.25" customHeight="1">
      <c r="A98" s="5"/>
      <c r="B98" s="5"/>
    </row>
    <row r="99" spans="1:2" ht="11.25" customHeight="1">
      <c r="A99" s="5"/>
      <c r="B99" s="5"/>
    </row>
    <row r="100" spans="1:2" ht="11.25" customHeight="1">
      <c r="A100" s="5"/>
      <c r="B100" s="5"/>
    </row>
    <row r="101" spans="1:2" ht="11.25" customHeight="1">
      <c r="A101" s="5"/>
      <c r="B101" s="5"/>
    </row>
    <row r="102" spans="1:2" ht="11.25" customHeight="1">
      <c r="A102" s="5"/>
      <c r="B102" s="5"/>
    </row>
    <row r="103" spans="1:2" ht="11.25" customHeight="1">
      <c r="A103" s="5"/>
      <c r="B103" s="5"/>
    </row>
    <row r="104" spans="1:2" ht="11.25" customHeight="1">
      <c r="A104" s="5"/>
      <c r="B104" s="5"/>
    </row>
    <row r="105" spans="1:2" ht="11.25" customHeight="1">
      <c r="A105" s="5"/>
      <c r="B105" s="5"/>
    </row>
    <row r="106" spans="1:2" ht="11.25" customHeight="1">
      <c r="A106" s="5"/>
      <c r="B106" s="5"/>
    </row>
    <row r="107" spans="1:2" ht="11.25" customHeight="1">
      <c r="A107" s="5"/>
      <c r="B107" s="5"/>
    </row>
    <row r="108" spans="1:2" ht="11.25" customHeight="1">
      <c r="A108" s="5"/>
      <c r="B108" s="5"/>
    </row>
    <row r="109" spans="1:2" ht="11.25" customHeight="1">
      <c r="A109" s="5"/>
      <c r="B109" s="5"/>
    </row>
    <row r="110" spans="1:2" ht="11.25" customHeight="1">
      <c r="A110" s="5"/>
      <c r="B110" s="5"/>
    </row>
    <row r="111" spans="1:2" ht="11.25" customHeight="1">
      <c r="A111" s="5"/>
      <c r="B111" s="5"/>
    </row>
    <row r="112" spans="1:2" ht="11.25" customHeight="1">
      <c r="A112" s="5"/>
      <c r="B112" s="5"/>
    </row>
    <row r="113" spans="1:2" ht="11.25" customHeight="1">
      <c r="A113" s="5"/>
      <c r="B113" s="5"/>
    </row>
    <row r="114" spans="1:2" ht="11.25" customHeight="1">
      <c r="A114" s="5"/>
      <c r="B114" s="5"/>
    </row>
    <row r="115" spans="1:2" ht="11.25" customHeight="1">
      <c r="A115" s="5"/>
      <c r="B115" s="5"/>
    </row>
    <row r="116" spans="1:2" ht="11.25" customHeight="1">
      <c r="A116" s="5"/>
      <c r="B116" s="5"/>
    </row>
    <row r="117" spans="1:2" ht="11.25" customHeight="1">
      <c r="A117" s="5"/>
      <c r="B117" s="5"/>
    </row>
    <row r="118" spans="1:2" ht="11.25" customHeight="1">
      <c r="A118" s="5"/>
      <c r="B118" s="5"/>
    </row>
    <row r="119" spans="1:2" ht="11.25" customHeight="1">
      <c r="A119" s="5"/>
      <c r="B119" s="5"/>
    </row>
    <row r="120" spans="1:2" ht="11.25" customHeight="1">
      <c r="A120" s="5"/>
      <c r="B120" s="5"/>
    </row>
    <row r="121" spans="1:2" ht="11.25" customHeight="1">
      <c r="A121" s="5"/>
      <c r="B121" s="5"/>
    </row>
    <row r="122" spans="1:2" ht="11.25" customHeight="1">
      <c r="A122" s="5"/>
      <c r="B122" s="5"/>
    </row>
    <row r="123" spans="1:2" ht="11.25" customHeight="1">
      <c r="A123" s="5"/>
      <c r="B123" s="5"/>
    </row>
    <row r="124" spans="1:2" ht="11.25" customHeight="1">
      <c r="A124" s="5"/>
      <c r="B124" s="5"/>
    </row>
    <row r="125" spans="1:2" ht="11.25" customHeight="1">
      <c r="A125" s="5"/>
      <c r="B125" s="5"/>
    </row>
    <row r="126" spans="1:2" ht="11.25" customHeight="1">
      <c r="A126" s="5"/>
      <c r="B126" s="5"/>
    </row>
    <row r="127" spans="1:2" ht="11.25" customHeight="1">
      <c r="A127" s="5"/>
      <c r="B127" s="5"/>
    </row>
    <row r="128" spans="1:2" ht="11.25" customHeight="1">
      <c r="A128" s="5"/>
      <c r="B128" s="5"/>
    </row>
    <row r="129" spans="1:2" ht="11.25" customHeight="1">
      <c r="A129" s="5"/>
      <c r="B129" s="5"/>
    </row>
    <row r="130" spans="1:2" ht="11.25" customHeight="1">
      <c r="A130" s="5"/>
      <c r="B130" s="5"/>
    </row>
    <row r="131" spans="1:2" ht="11.25" customHeight="1">
      <c r="A131" s="5"/>
      <c r="B131" s="5"/>
    </row>
    <row r="132" spans="1:2" ht="11.25" customHeight="1">
      <c r="A132" s="5"/>
      <c r="B132" s="5"/>
    </row>
    <row r="133" spans="1:2" ht="11.25" customHeight="1">
      <c r="A133" s="5"/>
      <c r="B133" s="5"/>
    </row>
    <row r="134" spans="1:2" ht="11.25" customHeight="1">
      <c r="A134" s="5"/>
      <c r="B134" s="5"/>
    </row>
    <row r="135" spans="1:2" ht="11.25" customHeight="1">
      <c r="A135" s="5"/>
      <c r="B135" s="5"/>
    </row>
    <row r="136" spans="1:2" ht="11.25" customHeight="1">
      <c r="A136" s="5"/>
      <c r="B136" s="5"/>
    </row>
    <row r="137" spans="1:2" ht="11.25" customHeight="1">
      <c r="A137" s="5"/>
      <c r="B137" s="5"/>
    </row>
    <row r="138" spans="1:2" ht="11.25" customHeight="1">
      <c r="A138" s="5"/>
      <c r="B138" s="5"/>
    </row>
    <row r="139" spans="1:2" ht="11.25" customHeight="1">
      <c r="A139" s="5"/>
      <c r="B139" s="5"/>
    </row>
    <row r="140" spans="1:2" ht="11.25" customHeight="1">
      <c r="A140" s="5"/>
      <c r="B140" s="5"/>
    </row>
    <row r="141" spans="1:2" ht="11.25" customHeight="1">
      <c r="A141" s="5"/>
      <c r="B141" s="5"/>
    </row>
    <row r="142" spans="1:2" ht="11.25" customHeight="1">
      <c r="A142" s="5"/>
      <c r="B142" s="5"/>
    </row>
    <row r="143" spans="1:2" ht="11.25" customHeight="1">
      <c r="A143" s="5"/>
      <c r="B143" s="5"/>
    </row>
    <row r="144" spans="1:2" ht="11.25" customHeight="1">
      <c r="A144" s="5"/>
      <c r="B144" s="5"/>
    </row>
    <row r="145" spans="1:2" ht="11.25" customHeight="1">
      <c r="A145" s="5"/>
      <c r="B145" s="5"/>
    </row>
    <row r="146" spans="1:2" ht="11.25" customHeight="1">
      <c r="A146" s="5"/>
      <c r="B146" s="5"/>
    </row>
    <row r="147" spans="1:2" ht="11.25" customHeight="1">
      <c r="A147" s="5"/>
      <c r="B147" s="5"/>
    </row>
    <row r="148" spans="1:2" ht="11.25" customHeight="1">
      <c r="A148" s="5"/>
      <c r="B148" s="5"/>
    </row>
    <row r="149" spans="1:2" ht="11.25" customHeight="1">
      <c r="A149" s="5"/>
      <c r="B149" s="5"/>
    </row>
    <row r="150" spans="1:2" ht="11.25" customHeight="1">
      <c r="A150" s="5"/>
      <c r="B150" s="5"/>
    </row>
    <row r="151" spans="1:2" ht="11.25" customHeight="1">
      <c r="A151" s="5"/>
      <c r="B151" s="5"/>
    </row>
    <row r="152" spans="1:2" ht="11.25" customHeight="1">
      <c r="A152" s="5"/>
      <c r="B152" s="5"/>
    </row>
    <row r="153" spans="1:2" ht="11.25" customHeight="1">
      <c r="A153" s="5"/>
      <c r="B153" s="5"/>
    </row>
    <row r="154" spans="1:2" ht="11.25" customHeight="1">
      <c r="A154" s="5"/>
      <c r="B154" s="5"/>
    </row>
    <row r="155" spans="1:2" ht="11.25" customHeight="1">
      <c r="A155" s="5"/>
      <c r="B155" s="5"/>
    </row>
    <row r="156" spans="1:2" ht="11.25" customHeight="1">
      <c r="A156" s="5"/>
      <c r="B156" s="5"/>
    </row>
    <row r="157" spans="1:2" ht="11.25" customHeight="1">
      <c r="A157" s="5"/>
      <c r="B157" s="5"/>
    </row>
    <row r="158" spans="1:2" ht="11.25" customHeight="1">
      <c r="A158" s="5"/>
      <c r="B158" s="5"/>
    </row>
    <row r="159" spans="1:2" ht="11.25" customHeight="1">
      <c r="A159" s="5"/>
      <c r="B159" s="5"/>
    </row>
    <row r="160" spans="1:2" ht="11.25" customHeight="1">
      <c r="A160" s="5"/>
      <c r="B160" s="5"/>
    </row>
    <row r="161" spans="1:2" ht="11.25" customHeight="1">
      <c r="A161" s="5"/>
      <c r="B161" s="5"/>
    </row>
    <row r="162" spans="1:2" ht="11.25" customHeight="1">
      <c r="A162" s="5"/>
      <c r="B162" s="5"/>
    </row>
    <row r="163" spans="1:2" ht="11.25" customHeight="1">
      <c r="A163" s="5"/>
      <c r="B163" s="5"/>
    </row>
    <row r="164" spans="1:2" ht="11.25" customHeight="1">
      <c r="A164" s="5"/>
      <c r="B164" s="5"/>
    </row>
    <row r="165" spans="1:2" ht="11.25" customHeight="1">
      <c r="A165" s="5"/>
      <c r="B165" s="5"/>
    </row>
    <row r="166" spans="1:2" ht="11.25" customHeight="1">
      <c r="A166" s="5"/>
      <c r="B166" s="5"/>
    </row>
    <row r="167" spans="1:2" ht="11.25" customHeight="1">
      <c r="A167" s="5"/>
      <c r="B167" s="5"/>
    </row>
    <row r="168" spans="1:2" ht="11.25" customHeight="1">
      <c r="A168" s="5"/>
      <c r="B168" s="5"/>
    </row>
    <row r="169" spans="1:2" ht="11.25" customHeight="1">
      <c r="A169" s="5"/>
      <c r="B169" s="5"/>
    </row>
    <row r="170" spans="1:2" ht="11.25" customHeight="1">
      <c r="A170" s="5"/>
      <c r="B170" s="5"/>
    </row>
    <row r="171" spans="1:2" ht="11.25" customHeight="1">
      <c r="A171" s="5"/>
      <c r="B171" s="5"/>
    </row>
    <row r="172" spans="1:2" ht="11.25" customHeight="1">
      <c r="A172" s="5"/>
      <c r="B172" s="5"/>
    </row>
    <row r="173" spans="1:2" ht="11.25" customHeight="1">
      <c r="A173" s="5"/>
      <c r="B173" s="5"/>
    </row>
    <row r="174" spans="1:2" ht="11.25" customHeight="1">
      <c r="A174" s="5"/>
      <c r="B174" s="5"/>
    </row>
    <row r="175" spans="1:2" ht="11.25" customHeight="1">
      <c r="A175" s="5"/>
      <c r="B175" s="5"/>
    </row>
    <row r="176" spans="1:2" ht="11.25" customHeight="1">
      <c r="A176" s="5"/>
      <c r="B176" s="5"/>
    </row>
    <row r="177" spans="1:2" ht="11.25" customHeight="1">
      <c r="A177" s="5"/>
      <c r="B177" s="5"/>
    </row>
    <row r="178" spans="1:2" ht="11.25" customHeight="1">
      <c r="A178" s="5"/>
      <c r="B178" s="5"/>
    </row>
    <row r="179" spans="1:2" ht="11.25" customHeight="1">
      <c r="A179" s="5"/>
      <c r="B179" s="5"/>
    </row>
    <row r="180" spans="1:2" ht="11.25" customHeight="1">
      <c r="A180" s="5"/>
      <c r="B180" s="5"/>
    </row>
    <row r="181" spans="1:2" ht="11.25" customHeight="1">
      <c r="A181" s="5"/>
      <c r="B181" s="5"/>
    </row>
    <row r="182" spans="1:2" ht="11.25" customHeight="1">
      <c r="A182" s="5"/>
      <c r="B182" s="5"/>
    </row>
    <row r="183" spans="1:2" ht="11.25" customHeight="1">
      <c r="A183" s="5"/>
      <c r="B183" s="5"/>
    </row>
    <row r="184" spans="1:2" ht="11.25" customHeight="1">
      <c r="A184" s="5"/>
      <c r="B184" s="5"/>
    </row>
    <row r="185" spans="1:2" ht="11.25" customHeight="1">
      <c r="A185" s="5"/>
      <c r="B185" s="5"/>
    </row>
    <row r="186" spans="1:2" ht="11.25" customHeight="1">
      <c r="A186" s="5"/>
      <c r="B186" s="5"/>
    </row>
    <row r="187" spans="1:2" ht="11.25" customHeight="1">
      <c r="A187" s="5"/>
      <c r="B187" s="5"/>
    </row>
    <row r="188" spans="1:2" ht="11.25" customHeight="1">
      <c r="A188" s="5"/>
      <c r="B188" s="5"/>
    </row>
    <row r="189" spans="1:2" ht="11.25" customHeight="1">
      <c r="A189" s="5"/>
      <c r="B189" s="5"/>
    </row>
    <row r="190" spans="1:2" ht="11.25" customHeight="1">
      <c r="A190" s="5"/>
      <c r="B190" s="5"/>
    </row>
    <row r="191" spans="1:2" ht="11.25" customHeight="1">
      <c r="A191" s="5"/>
      <c r="B191" s="5"/>
    </row>
    <row r="192" spans="1:2" ht="11.25" customHeight="1">
      <c r="A192" s="5"/>
      <c r="B192" s="5"/>
    </row>
    <row r="193" spans="1:2" ht="11.25" customHeight="1">
      <c r="A193" s="5"/>
      <c r="B193" s="5"/>
    </row>
    <row r="194" spans="1:2" ht="11.25" customHeight="1">
      <c r="A194" s="5"/>
      <c r="B194" s="5"/>
    </row>
    <row r="195" spans="1:2" ht="11.25" customHeight="1">
      <c r="A195" s="5"/>
      <c r="B195" s="5"/>
    </row>
    <row r="196" spans="1:2" ht="11.25" customHeight="1">
      <c r="A196" s="5"/>
      <c r="B196" s="5"/>
    </row>
    <row r="197" spans="1:2" ht="11.25" customHeight="1">
      <c r="A197" s="5"/>
      <c r="B197" s="5"/>
    </row>
    <row r="198" spans="1:2" ht="11.25" customHeight="1">
      <c r="A198" s="5"/>
      <c r="B198" s="5"/>
    </row>
    <row r="199" spans="1:2" ht="11.25" customHeight="1">
      <c r="A199" s="5"/>
      <c r="B199" s="5"/>
    </row>
    <row r="200" spans="1:2" ht="11.25" customHeight="1">
      <c r="A200" s="5"/>
      <c r="B200" s="5"/>
    </row>
    <row r="201" spans="1:2" ht="11.25" customHeight="1">
      <c r="A201" s="5"/>
      <c r="B201" s="5"/>
    </row>
    <row r="202" spans="1:2" ht="11.25" customHeight="1">
      <c r="A202" s="5"/>
      <c r="B202" s="5"/>
    </row>
    <row r="203" spans="1:2" ht="11.25" customHeight="1">
      <c r="A203" s="5"/>
      <c r="B203" s="5"/>
    </row>
    <row r="204" spans="1:2" ht="11.25" customHeight="1">
      <c r="A204" s="5"/>
      <c r="B204" s="5"/>
    </row>
    <row r="205" spans="1:2" ht="11.25" customHeight="1">
      <c r="A205" s="5"/>
      <c r="B205" s="5"/>
    </row>
    <row r="206" spans="1:2" ht="11.25" customHeight="1">
      <c r="A206" s="5"/>
      <c r="B206" s="5"/>
    </row>
    <row r="207" spans="1:2" ht="11.25" customHeight="1">
      <c r="A207" s="5"/>
      <c r="B207" s="5"/>
    </row>
    <row r="208" spans="1:2" ht="11.25" customHeight="1">
      <c r="A208" s="5"/>
      <c r="B208" s="5"/>
    </row>
    <row r="209" spans="1:2" ht="11.25" customHeight="1">
      <c r="A209" s="5"/>
      <c r="B209" s="5"/>
    </row>
    <row r="210" spans="1:2" ht="11.25" customHeight="1">
      <c r="A210" s="5"/>
      <c r="B210" s="5"/>
    </row>
    <row r="211" spans="1:2" ht="11.25" customHeight="1">
      <c r="A211" s="5"/>
      <c r="B211" s="5"/>
    </row>
    <row r="212" spans="1:2" ht="11.25" customHeight="1">
      <c r="A212" s="5"/>
      <c r="B212" s="5"/>
    </row>
    <row r="213" spans="1:2" ht="11.25" customHeight="1">
      <c r="A213" s="5"/>
      <c r="B213" s="5"/>
    </row>
    <row r="214" spans="1:2" ht="11.25" customHeight="1">
      <c r="A214" s="5"/>
      <c r="B214" s="5"/>
    </row>
    <row r="215" spans="1:2" ht="11.25" customHeight="1">
      <c r="A215" s="5"/>
      <c r="B215" s="5"/>
    </row>
    <row r="216" spans="1:2" ht="11.25" customHeight="1">
      <c r="A216" s="5"/>
      <c r="B216" s="5"/>
    </row>
    <row r="217" spans="1:2" ht="11.25" customHeight="1">
      <c r="A217" s="5"/>
      <c r="B217" s="5"/>
    </row>
    <row r="218" spans="1:2" ht="11.25" customHeight="1">
      <c r="A218" s="5"/>
      <c r="B218" s="5"/>
    </row>
    <row r="219" spans="1:2" ht="11.25" customHeight="1">
      <c r="A219" s="5"/>
      <c r="B219" s="5"/>
    </row>
    <row r="220" spans="1:2" ht="11.25" customHeight="1">
      <c r="A220" s="5"/>
      <c r="B220" s="5"/>
    </row>
    <row r="221" spans="1:2" ht="11.25" customHeight="1">
      <c r="A221" s="5"/>
      <c r="B221" s="5"/>
    </row>
    <row r="222" spans="1:2" ht="11.25" customHeight="1">
      <c r="A222" s="5"/>
      <c r="B222" s="5"/>
    </row>
    <row r="223" spans="1:2" ht="11.25" customHeight="1">
      <c r="A223" s="5"/>
      <c r="B223" s="5"/>
    </row>
    <row r="224" spans="1:2" ht="11.25" customHeight="1">
      <c r="A224" s="5"/>
      <c r="B224" s="5"/>
    </row>
    <row r="225" spans="1:2" ht="11.25" customHeight="1">
      <c r="A225" s="5"/>
      <c r="B225" s="5"/>
    </row>
    <row r="226" spans="1:2" ht="11.25" customHeight="1">
      <c r="A226" s="5"/>
      <c r="B226" s="5"/>
    </row>
    <row r="227" spans="1:2" ht="11.25" customHeight="1">
      <c r="A227" s="5"/>
      <c r="B227" s="5"/>
    </row>
    <row r="228" spans="1:2" ht="11.25" customHeight="1">
      <c r="A228" s="5"/>
      <c r="B228" s="5"/>
    </row>
    <row r="229" spans="1:2" ht="11.25" customHeight="1">
      <c r="A229" s="5"/>
      <c r="B229" s="5"/>
    </row>
    <row r="230" spans="1:2" ht="11.25" customHeight="1">
      <c r="A230" s="5"/>
      <c r="B230" s="5"/>
    </row>
    <row r="231" spans="1:2" ht="11.25" customHeight="1">
      <c r="A231" s="5"/>
      <c r="B231" s="5"/>
    </row>
    <row r="232" spans="1:2" ht="11.25" customHeight="1">
      <c r="A232" s="5"/>
      <c r="B232" s="5"/>
    </row>
    <row r="233" spans="1:2" ht="11.25" customHeight="1">
      <c r="A233" s="5"/>
      <c r="B233" s="5"/>
    </row>
    <row r="234" spans="1:2" ht="11.25" customHeight="1">
      <c r="A234" s="5"/>
      <c r="B234" s="5"/>
    </row>
    <row r="235" spans="1:2" ht="11.25" customHeight="1">
      <c r="A235" s="5"/>
      <c r="B235" s="5"/>
    </row>
    <row r="236" spans="1:2" ht="11.25" customHeight="1">
      <c r="A236" s="5"/>
      <c r="B236" s="5"/>
    </row>
    <row r="237" spans="1:2" ht="11.25" customHeight="1">
      <c r="A237" s="5"/>
      <c r="B237" s="5"/>
    </row>
    <row r="238" spans="1:2" ht="11.25" customHeight="1">
      <c r="A238" s="5"/>
      <c r="B238" s="5"/>
    </row>
    <row r="239" spans="1:2" ht="11.25" customHeight="1">
      <c r="A239" s="5"/>
      <c r="B239" s="5"/>
    </row>
    <row r="240" spans="1:2" ht="11.25" customHeight="1">
      <c r="A240" s="5"/>
      <c r="B240" s="5"/>
    </row>
    <row r="241" spans="1:2" ht="11.25" customHeight="1">
      <c r="A241" s="5"/>
      <c r="B241" s="5"/>
    </row>
    <row r="242" spans="1:2" ht="11.25" customHeight="1">
      <c r="A242" s="5"/>
      <c r="B242" s="5"/>
    </row>
    <row r="243" spans="1:2" ht="11.25" customHeight="1">
      <c r="A243" s="5"/>
      <c r="B243" s="5"/>
    </row>
    <row r="244" spans="1:2" ht="11.25" customHeight="1">
      <c r="A244" s="5"/>
      <c r="B244" s="5"/>
    </row>
    <row r="245" spans="1:2" ht="11.25" customHeight="1">
      <c r="A245" s="5"/>
      <c r="B245" s="5"/>
    </row>
    <row r="246" spans="1:2" ht="11.25" customHeight="1">
      <c r="A246" s="5"/>
      <c r="B246" s="5"/>
    </row>
    <row r="247" spans="1:2" ht="11.25" customHeight="1">
      <c r="A247" s="5"/>
      <c r="B247" s="5"/>
    </row>
    <row r="248" spans="1:2" ht="11.25" customHeight="1">
      <c r="A248" s="5"/>
      <c r="B248" s="5"/>
    </row>
    <row r="249" spans="1:2" ht="11.25" customHeight="1">
      <c r="A249" s="5"/>
      <c r="B249" s="5"/>
    </row>
    <row r="250" spans="1:2" ht="11.25" customHeight="1">
      <c r="A250" s="5"/>
      <c r="B250" s="5"/>
    </row>
    <row r="251" spans="1:2" ht="11.25" customHeight="1">
      <c r="A251" s="5"/>
      <c r="B251" s="5"/>
    </row>
    <row r="252" spans="1:2" ht="11.25" customHeight="1">
      <c r="A252" s="5"/>
      <c r="B252" s="5"/>
    </row>
    <row r="253" spans="1:2" ht="11.25" customHeight="1">
      <c r="A253" s="5"/>
      <c r="B253" s="5"/>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753" customWidth="1"/>
    <col min="2" max="2" width="90.7109375" style="1753" customWidth="1"/>
    <col min="3" max="4" width="9.140625" style="1753"/>
  </cols>
  <sheetData>
    <row r="1" spans="2:4" ht="11.25" customHeight="1">
      <c r="B1" s="31" t="s">
        <v>4112</v>
      </c>
    </row>
    <row r="2" spans="2:4" ht="90" customHeight="1">
      <c r="B2" s="32" t="s">
        <v>4113</v>
      </c>
    </row>
    <row r="3" spans="2:4" ht="67.5" customHeight="1">
      <c r="B3" s="32" t="s">
        <v>4114</v>
      </c>
    </row>
    <row r="4" spans="2:4" ht="33.75" customHeight="1">
      <c r="B4" s="32" t="s">
        <v>4115</v>
      </c>
    </row>
    <row r="5" spans="2:4" ht="11.25" customHeight="1">
      <c r="B5" s="32" t="s">
        <v>4116</v>
      </c>
    </row>
    <row r="6" spans="2:4" ht="22.5" customHeight="1">
      <c r="B6" s="32" t="s">
        <v>4117</v>
      </c>
    </row>
    <row r="7" spans="2:4" ht="22.5" customHeight="1">
      <c r="B7" s="32" t="s">
        <v>4118</v>
      </c>
    </row>
    <row r="8" spans="2:4" ht="22.5" customHeight="1">
      <c r="B8" s="32" t="s">
        <v>4119</v>
      </c>
    </row>
    <row r="9" spans="2:4" ht="22.5" customHeight="1">
      <c r="B9" s="32" t="s">
        <v>4120</v>
      </c>
    </row>
    <row r="10" spans="2:4" ht="56.25" customHeight="1">
      <c r="B10" s="32" t="s">
        <v>4121</v>
      </c>
    </row>
    <row r="11" spans="2:4" ht="12.75" customHeight="1">
      <c r="B11" s="88" t="s">
        <v>4122</v>
      </c>
    </row>
    <row r="12" spans="2:4" ht="11.25" customHeight="1">
      <c r="B12" s="31" t="s">
        <v>4123</v>
      </c>
    </row>
    <row r="13" spans="2:4" ht="22.5" customHeight="1">
      <c r="B13" s="32" t="s">
        <v>4124</v>
      </c>
    </row>
    <row r="14" spans="2:4" ht="67.5" customHeight="1">
      <c r="B14" s="32" t="s">
        <v>4125</v>
      </c>
    </row>
    <row r="15" spans="2:4" ht="22.5" customHeight="1">
      <c r="B15" s="32" t="s">
        <v>4126</v>
      </c>
    </row>
    <row r="16" spans="2:4" ht="11.25" customHeight="1">
      <c r="B16" s="31" t="s">
        <v>4127</v>
      </c>
      <c r="D16" s="38"/>
    </row>
    <row r="17" spans="1:2" ht="33.75" customHeight="1">
      <c r="B17" s="32" t="s">
        <v>4128</v>
      </c>
    </row>
    <row r="18" spans="1:2" ht="33.75" customHeight="1">
      <c r="B18" s="32" t="s">
        <v>4129</v>
      </c>
    </row>
    <row r="19" spans="1:2" ht="11.25" customHeight="1">
      <c r="B19" s="32" t="s">
        <v>4130</v>
      </c>
    </row>
    <row r="20" spans="1:2" ht="33.75" customHeight="1">
      <c r="B20" s="32" t="s">
        <v>4131</v>
      </c>
    </row>
    <row r="21" spans="1:2" ht="11.25" customHeight="1">
      <c r="B21" s="31" t="s">
        <v>4132</v>
      </c>
    </row>
    <row r="22" spans="1:2" ht="11.25" customHeight="1">
      <c r="B22" s="32" t="s">
        <v>4133</v>
      </c>
    </row>
    <row r="24" spans="1:2" ht="22.5" customHeight="1">
      <c r="B24" s="90" t="s">
        <v>4134</v>
      </c>
    </row>
    <row r="26" spans="1:2" ht="11.25" customHeight="1">
      <c r="B26" s="31" t="s">
        <v>4135</v>
      </c>
    </row>
    <row r="27" spans="1:2" ht="22.5" customHeight="1">
      <c r="B27" s="89" t="s">
        <v>1460</v>
      </c>
    </row>
    <row r="28" spans="1:2" ht="56.25" customHeight="1">
      <c r="B28" s="89" t="s">
        <v>4136</v>
      </c>
    </row>
    <row r="29" spans="1:2" ht="11.25" customHeight="1">
      <c r="B29" s="132" t="s">
        <v>4137</v>
      </c>
    </row>
    <row r="30" spans="1:2" ht="22.5" customHeight="1">
      <c r="B30" s="89" t="s">
        <v>4138</v>
      </c>
    </row>
    <row r="32" spans="1:2" ht="11.25" customHeight="1">
      <c r="A32" s="113"/>
      <c r="B32" s="114" t="s">
        <v>4139</v>
      </c>
    </row>
    <row r="33" spans="1:2" ht="14.25" customHeight="1">
      <c r="A33" s="115">
        <v>1</v>
      </c>
      <c r="B33" s="116" t="s">
        <v>4140</v>
      </c>
    </row>
    <row r="34" spans="1:2" ht="14.25" customHeight="1">
      <c r="A34" s="115">
        <v>2</v>
      </c>
      <c r="B34" s="116" t="s">
        <v>4141</v>
      </c>
    </row>
    <row r="35" spans="1:2" ht="11.25" customHeight="1">
      <c r="B35" s="114" t="s">
        <v>4142</v>
      </c>
    </row>
    <row r="36" spans="1:2" ht="11.25" customHeight="1">
      <c r="B36" s="116" t="s">
        <v>4143</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0001"/>
  </sheetPr>
  <dimension ref="A1"/>
  <sheetViews>
    <sheetView workbookViewId="0"/>
  </sheetViews>
  <sheetFormatPr defaultColWidth="8.85546875" defaultRowHeight="15" customHeight="1"/>
  <sheetData/>
  <sheetProtection insertRows="0" deleteColumns="0" deleteRows="0" sort="0" autoFilter="0"/>
  <pageMargins left="0.7" right="0.7" top="0.75" bottom="0.75" header="0.3" footer="0.3"/>
  <pageSetup pageOrder="overThenDown"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U17"/>
  <sheetViews>
    <sheetView showGridLines="0" topLeftCell="C5" zoomScale="90" workbookViewId="0"/>
  </sheetViews>
  <sheetFormatPr defaultColWidth="10.5703125" defaultRowHeight="14.25" customHeight="1"/>
  <cols>
    <col min="1" max="1" width="9.140625" style="1741" hidden="1" customWidth="1"/>
    <col min="2" max="2" width="9.140625" style="1846" hidden="1" customWidth="1"/>
    <col min="3" max="3" width="3.7109375" style="1760" customWidth="1"/>
    <col min="4" max="4" width="5.5703125" style="1846" customWidth="1"/>
    <col min="5" max="5" width="38.140625" style="1846" customWidth="1"/>
    <col min="6" max="7" width="3.7109375" style="1846" customWidth="1"/>
    <col min="8" max="8" width="38.28515625" style="1846" customWidth="1"/>
    <col min="9" max="9" width="35.7109375" style="1846" customWidth="1"/>
    <col min="10" max="10" width="103.7109375" style="1846" customWidth="1"/>
    <col min="11" max="11" width="3.7109375" style="1651" customWidth="1"/>
    <col min="12" max="14" width="10.5703125" style="1772"/>
    <col min="15" max="15" width="13.7109375" style="1772" customWidth="1"/>
    <col min="16" max="16" width="15.42578125" style="1772" customWidth="1"/>
    <col min="17" max="17" width="16.28515625" style="1772" customWidth="1"/>
    <col min="18" max="21" width="10.5703125" style="1772"/>
  </cols>
  <sheetData>
    <row r="1" spans="1:21" ht="14.25" hidden="1" customHeight="1">
      <c r="E1" s="347"/>
      <c r="F1" s="347"/>
      <c r="G1" s="347"/>
      <c r="H1" s="2129" t="s">
        <v>346</v>
      </c>
      <c r="I1" s="2129"/>
    </row>
    <row r="2" spans="1:21" s="1846" customFormat="1" ht="14.25" hidden="1" customHeight="1">
      <c r="C2" s="1480"/>
      <c r="D2" s="2132" t="s">
        <v>109</v>
      </c>
      <c r="E2" s="2134"/>
      <c r="F2" s="1486"/>
      <c r="G2" s="1481" t="s">
        <v>109</v>
      </c>
      <c r="H2" s="1484"/>
      <c r="I2" s="1482"/>
      <c r="L2" s="1483"/>
      <c r="M2" s="1483"/>
      <c r="N2" s="1483"/>
      <c r="O2" s="1483" t="s">
        <v>376</v>
      </c>
      <c r="P2" s="1483"/>
      <c r="Q2" s="1483"/>
      <c r="R2" s="1485" t="s">
        <v>375</v>
      </c>
      <c r="S2" s="1485" t="s">
        <v>375</v>
      </c>
      <c r="T2" s="1483"/>
      <c r="U2" s="1483"/>
    </row>
    <row r="3" spans="1:21" s="1846" customFormat="1" ht="14.25" hidden="1" customHeight="1">
      <c r="C3" s="1480"/>
      <c r="D3" s="2133"/>
      <c r="E3" s="2135"/>
      <c r="F3" s="340"/>
      <c r="G3" s="768"/>
      <c r="H3" s="768" t="s">
        <v>377</v>
      </c>
      <c r="I3" s="233"/>
      <c r="L3" s="1483"/>
      <c r="M3" s="1483"/>
      <c r="N3" s="1483"/>
      <c r="O3" s="1483"/>
      <c r="P3" s="1483"/>
      <c r="Q3" s="1483"/>
      <c r="R3" s="1485"/>
      <c r="S3" s="1485"/>
      <c r="T3" s="1483"/>
      <c r="U3" s="1483"/>
    </row>
    <row r="4" spans="1:21" ht="14.25" hidden="1" customHeight="1"/>
    <row r="5" spans="1:21" s="1652" customFormat="1" ht="6" customHeight="1">
      <c r="C5" s="615"/>
      <c r="D5" s="616"/>
      <c r="E5" s="616"/>
      <c r="F5" s="616"/>
      <c r="G5" s="616"/>
      <c r="H5" s="616" t="s">
        <v>350</v>
      </c>
      <c r="I5" s="616"/>
      <c r="J5" s="616"/>
      <c r="L5" s="1476"/>
      <c r="M5" s="1476"/>
      <c r="N5" s="1476"/>
      <c r="O5" s="1476"/>
      <c r="P5" s="1476"/>
      <c r="Q5" s="1476"/>
      <c r="R5" s="1476"/>
      <c r="S5" s="1476"/>
      <c r="T5" s="1476"/>
      <c r="U5" s="1476"/>
    </row>
    <row r="6" spans="1:21" ht="17.25" customHeight="1">
      <c r="C6" s="1380"/>
      <c r="D6" s="2014" t="s">
        <v>378</v>
      </c>
      <c r="E6" s="2015"/>
      <c r="F6" s="2015"/>
      <c r="G6" s="2015"/>
      <c r="H6" s="2015"/>
      <c r="I6" s="2015"/>
      <c r="J6" s="419"/>
      <c r="K6" s="1477"/>
    </row>
    <row r="7" spans="1:21" ht="17.25" customHeight="1">
      <c r="C7" s="1380"/>
      <c r="D7" s="2126" t="str">
        <f>IF(org=0,"Не определено",org)</f>
        <v>ООО "Автозаводская ТЭЦ"</v>
      </c>
      <c r="E7" s="2127"/>
      <c r="F7" s="2127"/>
      <c r="G7" s="2127"/>
      <c r="H7" s="2127"/>
      <c r="I7" s="2127"/>
      <c r="J7" s="419"/>
      <c r="K7" s="1477"/>
    </row>
    <row r="8" spans="1:21" s="1653" customFormat="1" ht="6" customHeight="1">
      <c r="A8" s="1475"/>
      <c r="C8" s="414"/>
      <c r="D8" s="413"/>
      <c r="E8" s="413"/>
      <c r="F8" s="413"/>
      <c r="G8" s="413"/>
      <c r="H8" s="413"/>
      <c r="I8" s="413"/>
      <c r="J8" s="413"/>
      <c r="L8" s="1476"/>
      <c r="M8" s="1476"/>
      <c r="N8" s="1476"/>
      <c r="O8" s="1476"/>
      <c r="P8" s="1476"/>
      <c r="Q8" s="1476"/>
      <c r="R8" s="1476"/>
      <c r="S8" s="1476"/>
      <c r="T8" s="1476"/>
      <c r="U8" s="1476"/>
    </row>
    <row r="9" spans="1:21" s="1653" customFormat="1" ht="6" customHeight="1">
      <c r="A9" s="1475"/>
      <c r="C9" s="414"/>
      <c r="D9" s="413"/>
      <c r="E9" s="413"/>
      <c r="F9" s="413"/>
      <c r="G9" s="413"/>
      <c r="H9" s="413"/>
      <c r="I9" s="413"/>
      <c r="J9" s="413"/>
      <c r="L9" s="1483"/>
      <c r="M9" s="1483"/>
      <c r="N9" s="1483"/>
      <c r="O9" s="1483"/>
      <c r="P9" s="1483"/>
      <c r="Q9" s="1483"/>
      <c r="R9" s="1483"/>
      <c r="S9" s="1483"/>
      <c r="T9" s="1483"/>
      <c r="U9" s="1483"/>
    </row>
    <row r="10" spans="1:21" ht="14.25" customHeight="1">
      <c r="C10" s="1380"/>
      <c r="D10" s="2117" t="s">
        <v>292</v>
      </c>
      <c r="E10" s="2130"/>
      <c r="F10" s="2130"/>
      <c r="G10" s="2130"/>
      <c r="H10" s="2130"/>
      <c r="I10" s="2130"/>
      <c r="J10" s="2078" t="s">
        <v>293</v>
      </c>
    </row>
    <row r="11" spans="1:21" ht="25.5" customHeight="1">
      <c r="C11" s="1380"/>
      <c r="D11" s="2021" t="s">
        <v>88</v>
      </c>
      <c r="E11" s="2078" t="str">
        <f>IF(TEMPLATE_SPHERE&lt;&gt;"HEAT","Регулируемый вид деятельности","Вид регулируемой деятельности")</f>
        <v>Вид регулируемой деятельности</v>
      </c>
      <c r="F11" s="2081" t="s">
        <v>88</v>
      </c>
      <c r="G11" s="2082"/>
      <c r="H11" s="2080" t="s">
        <v>379</v>
      </c>
      <c r="I11" s="2080" t="s">
        <v>380</v>
      </c>
      <c r="J11" s="2078"/>
    </row>
    <row r="12" spans="1:21" ht="14.25" customHeight="1">
      <c r="C12" s="1380"/>
      <c r="D12" s="2021"/>
      <c r="E12" s="2078"/>
      <c r="F12" s="2086"/>
      <c r="G12" s="2087"/>
      <c r="H12" s="2136"/>
      <c r="I12" s="2136"/>
      <c r="J12" s="2078"/>
    </row>
    <row r="13" spans="1:21" s="1720" customFormat="1" ht="11.25" customHeight="1">
      <c r="C13" s="426"/>
      <c r="D13" s="427" t="s">
        <v>370</v>
      </c>
      <c r="E13" s="427"/>
      <c r="F13" s="427"/>
      <c r="G13" s="427"/>
      <c r="H13" s="425"/>
      <c r="I13" s="425"/>
      <c r="J13" s="369"/>
      <c r="L13" s="1476"/>
      <c r="M13" s="1476"/>
      <c r="N13" s="1476"/>
      <c r="O13" s="1476"/>
      <c r="P13" s="1476"/>
      <c r="Q13" s="1476"/>
      <c r="R13" s="1476"/>
      <c r="S13" s="1476"/>
      <c r="T13" s="1476"/>
      <c r="U13" s="1476"/>
    </row>
    <row r="14" spans="1:21" ht="14.25" customHeight="1">
      <c r="A14" s="1473"/>
      <c r="C14" s="1380"/>
      <c r="D14" s="2132" t="s">
        <v>109</v>
      </c>
      <c r="E14" s="2134"/>
      <c r="F14" s="1479"/>
      <c r="G14" s="1478" t="s">
        <v>109</v>
      </c>
      <c r="H14" s="1484"/>
      <c r="I14" s="1482"/>
      <c r="J14" s="2067" t="s">
        <v>381</v>
      </c>
      <c r="K14" s="1473"/>
      <c r="R14" s="428" t="s">
        <v>375</v>
      </c>
      <c r="S14" s="428" t="s">
        <v>375</v>
      </c>
    </row>
    <row r="15" spans="1:21" ht="14.25" customHeight="1">
      <c r="A15" s="1473"/>
      <c r="C15" s="1380"/>
      <c r="D15" s="2133"/>
      <c r="E15" s="2135"/>
      <c r="F15" s="340"/>
      <c r="G15" s="768"/>
      <c r="H15" s="768" t="s">
        <v>377</v>
      </c>
      <c r="I15" s="233"/>
      <c r="J15" s="2068"/>
      <c r="K15" s="1473"/>
      <c r="R15" s="428"/>
      <c r="S15" s="428"/>
    </row>
    <row r="16" spans="1:21" ht="14.25" customHeight="1">
      <c r="A16" s="1473"/>
      <c r="C16" s="1380"/>
      <c r="D16" s="340"/>
      <c r="E16" s="768" t="s">
        <v>122</v>
      </c>
      <c r="F16" s="233"/>
      <c r="G16" s="233"/>
      <c r="H16" s="341"/>
      <c r="I16" s="341"/>
      <c r="J16" s="2069"/>
      <c r="K16" s="1473"/>
    </row>
    <row r="17" spans="11:11" ht="14.25" customHeight="1">
      <c r="K17" s="1473"/>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4">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H14:I14 H2:I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87</vt:i4>
      </vt:variant>
      <vt:variant>
        <vt:lpstr>Именованные диапазоны</vt:lpstr>
      </vt:variant>
      <vt:variant>
        <vt:i4>1711</vt:i4>
      </vt:variant>
    </vt:vector>
  </HeadingPairs>
  <TitlesOfParts>
    <vt:vector size="1798"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DATA_FORMS</vt:lpstr>
      <vt:lpstr>DATA_NPA</vt:lpstr>
      <vt:lpstr>TEHSHEET</vt:lpstr>
      <vt:lpstr>et_union_hor</vt:lpstr>
      <vt:lpstr>Договоры</vt:lpstr>
      <vt:lpstr>ТС. Т-ТЭ | &gt;=25МВт</vt:lpstr>
      <vt:lpstr>ТС. Т-ТЭ | ТСО</vt:lpstr>
      <vt:lpstr>ТС. Резерв мощности</vt:lpstr>
      <vt:lpstr>ТС. Т-ТН</vt:lpstr>
      <vt:lpstr>ТС. Т-передача ТЭ</vt:lpstr>
      <vt:lpstr>ТС. Т-передача ТН</vt:lpstr>
      <vt:lpstr>ТС. Т-гор.вода</vt:lpstr>
      <vt:lpstr>ТС. Т-подкл</vt:lpstr>
      <vt:lpstr>Т-ТЭ | потр</vt:lpstr>
      <vt:lpstr>Т-ТЭ | предел</vt:lpstr>
      <vt:lpstr>Т-ТЭ | индикат</vt:lpstr>
      <vt:lpstr>Т-подкл(инд)</vt:lpstr>
      <vt:lpstr>Порядок ТП</vt:lpstr>
      <vt:lpstr>Сведения о закупках</vt:lpstr>
      <vt:lpstr>modMainProcedures</vt:lpstr>
      <vt:lpstr>Потребительские характеристики</vt:lpstr>
      <vt:lpstr>ТП</vt:lpstr>
      <vt:lpstr>Ограничения</vt:lpstr>
      <vt:lpstr>Предложение</vt:lpstr>
      <vt:lpstr>ХВС. Т-пит</vt:lpstr>
      <vt:lpstr>ХВС. Т-тех</vt:lpstr>
      <vt:lpstr>ХВС. Т-транс</vt:lpstr>
      <vt:lpstr>ХВС. Т-подвоз</vt:lpstr>
      <vt:lpstr>ХВС. Т-подкл</vt:lpstr>
      <vt:lpstr>Показатели ФХД</vt:lpstr>
      <vt:lpstr>Показатели ФХД &gt;20%</vt:lpstr>
      <vt:lpstr>ТКО. Показатели ФХД</vt:lpstr>
      <vt:lpstr>ТКО. Транс. Показатели ФХД</vt:lpstr>
      <vt:lpstr>Показатели КНЭ</vt:lpstr>
      <vt:lpstr>ИП</vt:lpstr>
      <vt:lpstr>ИП. Детализация</vt:lpstr>
      <vt:lpstr>ИП. Финансовый план</vt:lpstr>
      <vt:lpstr>ИП. КНЭ</vt:lpstr>
      <vt:lpstr>ГВС. Т-гор.вода</vt:lpstr>
      <vt:lpstr>ГВС. Т-транс</vt:lpstr>
      <vt:lpstr>ГВС. Т-подкл</vt:lpstr>
      <vt:lpstr>ВО. Т-во</vt:lpstr>
      <vt:lpstr>ВО. Т-транс</vt:lpstr>
      <vt:lpstr>ВО. Т-подкл</vt:lpstr>
      <vt:lpstr>modB_FHD</vt:lpstr>
      <vt:lpstr>modB_FHD20</vt:lpstr>
      <vt:lpstr>modB_KNE</vt:lpstr>
      <vt:lpstr>modIP_MAIN</vt:lpstr>
      <vt:lpstr>modIP_QRE</vt:lpstr>
      <vt:lpstr>modIP_DETAILED</vt:lpstr>
      <vt:lpstr>ЭД</vt:lpstr>
      <vt:lpstr>Сведения об изменении</vt:lpstr>
      <vt:lpstr>Орган регулирования</vt:lpstr>
      <vt:lpstr>Перечень организаций</vt:lpstr>
      <vt:lpstr>Дела об установлении тарифов</vt:lpstr>
      <vt:lpstr>Привлечение к ответственности</vt:lpstr>
      <vt:lpstr>Комментарии</vt:lpstr>
      <vt:lpstr>Проверка</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Черновик 1</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IP_DETAILED_ip_44</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IP_FIN_PLAN_ip_44</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IP_MAIN_ip_44</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IP_QRE_ADD_HL_CLAIM_COLUMN_MARKER</vt:lpstr>
      <vt:lpstr>IP_QRE_ADD_HL_COLUMN_MARKER</vt:lpstr>
      <vt:lpstr>IP_QRE_DELETE_HL_COLUMN_MARKER</vt:lpstr>
      <vt:lpstr>IP_QRE_ip_44</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pIns_PT_VTAR_A_HOTVSNA</vt:lpstr>
      <vt:lpstr>pIns_PT_VTAR_A_VOTV</vt:lpstr>
      <vt:lpstr>pIns_PT_VTAR_B</vt:lpstr>
      <vt:lpstr>pIns_PT_VTAR_B_COLDVSNA</vt:lpstr>
      <vt:lpstr>pIns_PT_VTAR_B_HOTVSNA</vt:lpstr>
      <vt:lpstr>pIns_PT_VTAR_B_VOTV</vt:lpstr>
      <vt:lpstr>pIns_PT_VTAR_C</vt:lpstr>
      <vt:lpstr>pIns_PT_VTAR_C_COLDVSNA</vt:lpstr>
      <vt:lpstr>pIns_PT_VTAR_C_HOTVSNA</vt:lpstr>
      <vt:lpstr>pIns_PT_VTAR_C_VOTV</vt:lpstr>
      <vt:lpstr>pIns_PT_VTAR_D</vt:lpstr>
      <vt:lpstr>pIns_PT_VTAR_D_COLDVSNA</vt:lpstr>
      <vt:lpstr>pIns_PT_VTAR_E_COLDVSNA</vt:lpstr>
      <vt:lpstr>pIns_PT_VTAR_E1</vt:lpstr>
      <vt:lpstr>pIns_PT_VTAR_E2</vt:lpstr>
      <vt:lpstr>pIns_PT_VTAR_F</vt:lpstr>
      <vt:lpstr>pIns_PT_VTAR_G</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REESTR_IP_RANGE</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lpstr>Дифференциация!Заголовки_для_печати</vt:lpstr>
      <vt:lpstr>Дифференциация!Область_печати</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Kuks Nataliya</cp:lastModifiedBy>
  <cp:lastPrinted>2013-08-29T08:11:20Z</cp:lastPrinted>
  <dcterms:created xsi:type="dcterms:W3CDTF">2004-05-21T07:18:45Z</dcterms:created>
  <dcterms:modified xsi:type="dcterms:W3CDTF">2024-04-22T06:06:14Z</dcterms:modified>
</cp:coreProperties>
</file>